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360" yWindow="90" windowWidth="1980" windowHeight="12330" firstSheet="15" activeTab="15"/>
  </bookViews>
  <sheets>
    <sheet name="基本支出汇总" sheetId="16" state="hidden" r:id="rId1"/>
    <sheet name="2022年绩效清算" sheetId="18" state="hidden" r:id="rId2"/>
    <sheet name="莘庄镇" sheetId="6" state="hidden" r:id="rId3"/>
    <sheet name="吴泾镇" sheetId="7" state="hidden" r:id="rId4"/>
    <sheet name="七宝镇" sheetId="1" state="hidden" r:id="rId5"/>
    <sheet name="浦江镇" sheetId="11" state="hidden" r:id="rId6"/>
    <sheet name="梅陇镇" sheetId="5" state="hidden" r:id="rId7"/>
    <sheet name="马桥镇" sheetId="4" state="hidden" r:id="rId8"/>
    <sheet name="华漕镇" sheetId="3" state="hidden" r:id="rId9"/>
    <sheet name="颛桥镇" sheetId="8" state="hidden" r:id="rId10"/>
    <sheet name="虹桥镇" sheetId="2" state="hidden" r:id="rId11"/>
    <sheet name="2023绩效预估" sheetId="10" state="hidden" r:id="rId12"/>
    <sheet name="保安经费" sheetId="14" state="hidden" r:id="rId13"/>
    <sheet name="残疾就业保障" sheetId="15" state="hidden" r:id="rId14"/>
    <sheet name="补充公用经费" sheetId="17" state="hidden" r:id="rId15"/>
    <sheet name="虹桥镇汇总" sheetId="38" r:id="rId16"/>
    <sheet name="设备购置与更新" sheetId="25" state="hidden" r:id="rId17"/>
    <sheet name="理化实验室" sheetId="26" state="hidden" r:id="rId18"/>
    <sheet name="虹桥维修2023" sheetId="35" state="hidden" r:id="rId19"/>
    <sheet name="2022年校舍维修尾款" sheetId="36" state="hidden" r:id="rId20"/>
    <sheet name="学前科" sheetId="20" state="hidden" r:id="rId21"/>
    <sheet name="普教一科" sheetId="21" state="hidden" r:id="rId22"/>
    <sheet name="普教二科" sheetId="22" state="hidden" r:id="rId23"/>
    <sheet name="考试中心" sheetId="23" state="hidden" r:id="rId24"/>
    <sheet name="教育学院" sheetId="24" state="hidden" r:id="rId25"/>
    <sheet name="抚恤金" sheetId="37" state="hidden" r:id="rId26"/>
  </sheets>
  <externalReferences>
    <externalReference r:id="rId27"/>
    <externalReference r:id="rId28"/>
  </externalReferences>
  <definedNames>
    <definedName name="_xlnm._FilterDatabase" localSheetId="11" hidden="1">'2023绩效预估'!$A$2:$H$126</definedName>
    <definedName name="_xlnm.Print_Area" localSheetId="1">'2022年绩效清算'!$A$1:$Q$129</definedName>
    <definedName name="_xlnm.Print_Area" localSheetId="19">'2022年校舍维修尾款'!$A$1:$J$4</definedName>
    <definedName name="_xlnm.Print_Area" localSheetId="18">虹桥维修2023!$A$1:$K$41</definedName>
    <definedName name="_xlnm.Print_Area" localSheetId="24">教育学院!$A$1:$G$6</definedName>
    <definedName name="_xlnm.Print_Area" localSheetId="23">考试中心!$A$1:$I$4</definedName>
    <definedName name="_xlnm.Print_Area" localSheetId="17">理化实验室!$A$1:$I$134</definedName>
    <definedName name="_xlnm.Print_Area" localSheetId="5">浦江镇!$A$1:$Y$106</definedName>
    <definedName name="_xlnm.Print_Area" localSheetId="22">普教二科!$A$1:$H$6</definedName>
    <definedName name="_xlnm.Print_Area" localSheetId="21">普教一科!$A$1:$G$12</definedName>
    <definedName name="_xlnm.Print_Area" localSheetId="16">设备购置与更新!$A$1:$L$6</definedName>
    <definedName name="_xlnm.Print_Area" localSheetId="20">学前科!$A$1:$I$15</definedName>
    <definedName name="_xlnm.Print_Titles" localSheetId="1">'2022年绩效清算'!$1:$3</definedName>
    <definedName name="_xlnm.Print_Titles" localSheetId="18">虹桥维修2023!$1:$2</definedName>
    <definedName name="_xlnm.Print_Titles" localSheetId="24">教育学院!$1:$2</definedName>
    <definedName name="_xlnm.Print_Titles" localSheetId="23">考试中心!$1:$2</definedName>
    <definedName name="_xlnm.Print_Titles" localSheetId="17">理化实验室!$1:$3</definedName>
    <definedName name="_xlnm.Print_Titles" localSheetId="5">浦江镇!$1:$2</definedName>
    <definedName name="_xlnm.Print_Titles" localSheetId="22">普教二科!$1:$2</definedName>
    <definedName name="_xlnm.Print_Titles" localSheetId="21">普教一科!$1:$2</definedName>
    <definedName name="_xlnm.Print_Titles" localSheetId="16">设备购置与更新!$1:$2</definedName>
    <definedName name="_xlnm.Print_Titles" localSheetId="20">学前科!$1:$2</definedName>
  </definedNames>
  <calcPr calcId="145621"/>
</workbook>
</file>

<file path=xl/calcChain.xml><?xml version="1.0" encoding="utf-8"?>
<calcChain xmlns="http://schemas.openxmlformats.org/spreadsheetml/2006/main">
  <c r="E4" i="36" l="1"/>
  <c r="F4" i="36"/>
  <c r="G4" i="36"/>
  <c r="I4" i="36"/>
  <c r="D4" i="36"/>
  <c r="H3" i="36"/>
  <c r="J3" i="36" s="1"/>
  <c r="J4" i="36" s="1"/>
  <c r="H4" i="36" l="1"/>
  <c r="J37" i="35"/>
  <c r="J36" i="35"/>
  <c r="J35" i="35"/>
  <c r="J34" i="35"/>
  <c r="J33" i="35"/>
  <c r="J32" i="35"/>
  <c r="J38" i="35" s="1"/>
  <c r="J28" i="35"/>
  <c r="H28" i="35"/>
  <c r="H27" i="35"/>
  <c r="J27" i="35" s="1"/>
  <c r="J23" i="35"/>
  <c r="J22" i="35"/>
  <c r="J21" i="35"/>
  <c r="J20" i="35"/>
  <c r="J19" i="35"/>
  <c r="H19" i="35"/>
  <c r="H18" i="35"/>
  <c r="J18" i="35" s="1"/>
  <c r="J17" i="35"/>
  <c r="H16" i="35"/>
  <c r="J16" i="35" s="1"/>
  <c r="J15" i="35"/>
  <c r="H14" i="35"/>
  <c r="J14" i="35" s="1"/>
  <c r="H13" i="35"/>
  <c r="J13" i="35" s="1"/>
  <c r="J12" i="35"/>
  <c r="H11" i="35"/>
  <c r="J11" i="35" s="1"/>
  <c r="H10" i="35"/>
  <c r="J10" i="35" s="1"/>
  <c r="J6" i="35"/>
  <c r="J5" i="35"/>
  <c r="H4" i="35"/>
  <c r="J4" i="35" s="1"/>
  <c r="I3" i="35"/>
  <c r="H3" i="35"/>
  <c r="AJ6" i="37"/>
  <c r="C11" i="38" s="1"/>
  <c r="AE5" i="37"/>
  <c r="AA5" i="37"/>
  <c r="Z5" i="37"/>
  <c r="W5" i="37"/>
  <c r="T5" i="37"/>
  <c r="Q5" i="37"/>
  <c r="N5" i="37"/>
  <c r="K5" i="37"/>
  <c r="H5" i="37"/>
  <c r="G5" i="37"/>
  <c r="AE4" i="37"/>
  <c r="AA4" i="37"/>
  <c r="AD4" i="37" s="1"/>
  <c r="Z4" i="37"/>
  <c r="AE3" i="37"/>
  <c r="W3" i="37"/>
  <c r="T3" i="37"/>
  <c r="Q3" i="37"/>
  <c r="N3" i="37"/>
  <c r="K3" i="37"/>
  <c r="H3" i="37"/>
  <c r="AD3" i="37" s="1"/>
  <c r="G3" i="37"/>
  <c r="J6" i="25"/>
  <c r="AD5" i="37" l="1"/>
  <c r="J29" i="35"/>
  <c r="J3" i="35"/>
  <c r="J7" i="35" s="1"/>
  <c r="H8" i="35" s="1"/>
  <c r="H39" i="35"/>
  <c r="J39" i="35"/>
  <c r="J40" i="35" s="1"/>
  <c r="K32" i="35" s="1"/>
  <c r="J8" i="35"/>
  <c r="J9" i="35" s="1"/>
  <c r="K3" i="35" s="1"/>
  <c r="J31" i="35"/>
  <c r="K27" i="35" s="1"/>
  <c r="H30" i="35"/>
  <c r="J30" i="35"/>
  <c r="J24" i="35"/>
  <c r="H25" i="35" l="1"/>
  <c r="J25" i="35"/>
  <c r="J26" i="35" s="1"/>
  <c r="K10" i="35" s="1"/>
  <c r="K41" i="35" s="1"/>
  <c r="C5" i="38" s="1"/>
  <c r="H129" i="26" l="1"/>
  <c r="H128" i="26"/>
  <c r="H127" i="26"/>
  <c r="H126" i="26"/>
  <c r="H124" i="26"/>
  <c r="H123" i="26"/>
  <c r="H122" i="26"/>
  <c r="H121" i="26"/>
  <c r="H120" i="26"/>
  <c r="H119" i="26"/>
  <c r="H118" i="26"/>
  <c r="H117" i="26"/>
  <c r="H116" i="26"/>
  <c r="H115" i="26"/>
  <c r="H114" i="26"/>
  <c r="H113" i="26"/>
  <c r="H112" i="26"/>
  <c r="H111" i="26"/>
  <c r="H110" i="26"/>
  <c r="H109" i="26"/>
  <c r="H108" i="26"/>
  <c r="H107" i="26"/>
  <c r="H106" i="26"/>
  <c r="H105" i="26"/>
  <c r="H104" i="26"/>
  <c r="H103" i="26"/>
  <c r="H102" i="26"/>
  <c r="H101" i="26"/>
  <c r="H100" i="26"/>
  <c r="H99" i="26"/>
  <c r="H98" i="26"/>
  <c r="H97" i="26"/>
  <c r="H96" i="26"/>
  <c r="H95" i="26"/>
  <c r="H94" i="26"/>
  <c r="H93" i="26"/>
  <c r="H92" i="26"/>
  <c r="H91" i="26"/>
  <c r="H90" i="26"/>
  <c r="H89" i="26"/>
  <c r="H88" i="26"/>
  <c r="H87" i="26"/>
  <c r="H86" i="26"/>
  <c r="H85" i="26"/>
  <c r="H84" i="26"/>
  <c r="H83" i="26"/>
  <c r="H82" i="26"/>
  <c r="H81" i="26"/>
  <c r="H80" i="26"/>
  <c r="H79" i="26"/>
  <c r="H78" i="26"/>
  <c r="H77" i="26"/>
  <c r="H76" i="26"/>
  <c r="H75" i="26"/>
  <c r="H74" i="26"/>
  <c r="H73" i="26"/>
  <c r="H72" i="26"/>
  <c r="H71" i="26"/>
  <c r="H70" i="26"/>
  <c r="H69" i="26"/>
  <c r="H64" i="26"/>
  <c r="H63" i="26"/>
  <c r="H62" i="26"/>
  <c r="H61" i="26"/>
  <c r="H59" i="26"/>
  <c r="H58" i="26"/>
  <c r="H57" i="26"/>
  <c r="H56" i="26"/>
  <c r="H55" i="26"/>
  <c r="H54" i="26"/>
  <c r="H53" i="26"/>
  <c r="H52" i="26"/>
  <c r="H51" i="26"/>
  <c r="H50" i="26"/>
  <c r="H49" i="26"/>
  <c r="H48" i="26"/>
  <c r="H47" i="26"/>
  <c r="H46" i="26"/>
  <c r="H45" i="26"/>
  <c r="H44" i="26"/>
  <c r="H43" i="26"/>
  <c r="H42" i="26"/>
  <c r="H41" i="26"/>
  <c r="H40" i="26"/>
  <c r="H39" i="26"/>
  <c r="H38" i="26"/>
  <c r="H37" i="26"/>
  <c r="H36" i="26"/>
  <c r="H35" i="26"/>
  <c r="H34" i="26"/>
  <c r="H33" i="26"/>
  <c r="H32" i="26"/>
  <c r="H31" i="26"/>
  <c r="H30" i="26"/>
  <c r="H29" i="26"/>
  <c r="H28" i="26"/>
  <c r="H27" i="26"/>
  <c r="H26" i="26"/>
  <c r="H25" i="26"/>
  <c r="H24" i="26"/>
  <c r="H23" i="26"/>
  <c r="H22" i="26"/>
  <c r="H21" i="26"/>
  <c r="H20" i="26"/>
  <c r="H19" i="26"/>
  <c r="H18" i="26"/>
  <c r="H17" i="26"/>
  <c r="H16" i="26"/>
  <c r="H15" i="26"/>
  <c r="H14" i="26"/>
  <c r="H13" i="26"/>
  <c r="H12" i="26"/>
  <c r="H11" i="26"/>
  <c r="H10" i="26"/>
  <c r="H9" i="26"/>
  <c r="H8" i="26"/>
  <c r="H7" i="26"/>
  <c r="H6" i="26"/>
  <c r="H5" i="26"/>
  <c r="H4" i="26"/>
  <c r="K5" i="25"/>
  <c r="K4" i="25"/>
  <c r="K3" i="25"/>
  <c r="G5" i="24"/>
  <c r="G4" i="24"/>
  <c r="G3" i="24"/>
  <c r="I3" i="23"/>
  <c r="I4" i="23" s="1"/>
  <c r="C9" i="38" s="1"/>
  <c r="H6" i="22"/>
  <c r="C8" i="38" s="1"/>
  <c r="G11" i="21"/>
  <c r="G10" i="21"/>
  <c r="G9" i="21"/>
  <c r="G8" i="21"/>
  <c r="G7" i="21"/>
  <c r="G6" i="21"/>
  <c r="G5" i="21"/>
  <c r="G4" i="21"/>
  <c r="G12" i="21" s="1"/>
  <c r="C7" i="38" s="1"/>
  <c r="G3" i="21"/>
  <c r="I14" i="20"/>
  <c r="I13" i="20"/>
  <c r="I12" i="20"/>
  <c r="I11" i="20"/>
  <c r="I10" i="20"/>
  <c r="I9" i="20"/>
  <c r="I8" i="20"/>
  <c r="I7" i="20"/>
  <c r="I6" i="20"/>
  <c r="I5" i="20"/>
  <c r="I4" i="20"/>
  <c r="I3" i="20"/>
  <c r="G6" i="24" l="1"/>
  <c r="C10" i="38" s="1"/>
  <c r="I15" i="20"/>
  <c r="C6" i="38" s="1"/>
  <c r="F60" i="26"/>
  <c r="H60" i="26" s="1"/>
  <c r="F65" i="26"/>
  <c r="H65" i="26" s="1"/>
  <c r="F66" i="26" s="1"/>
  <c r="F130" i="26"/>
  <c r="H130" i="26" s="1"/>
  <c r="F125" i="26"/>
  <c r="H125" i="26" s="1"/>
  <c r="K6" i="25"/>
  <c r="F131" i="26"/>
  <c r="F67" i="26" l="1"/>
  <c r="H67" i="26" s="1"/>
  <c r="H66" i="26"/>
  <c r="H68" i="26" s="1"/>
  <c r="H131" i="26"/>
  <c r="F132" i="26"/>
  <c r="H132" i="26" s="1"/>
  <c r="H133" i="26" l="1"/>
  <c r="H134" i="26"/>
  <c r="C4" i="38" s="1"/>
  <c r="C12" i="38" s="1"/>
  <c r="G4" i="10" l="1"/>
  <c r="G5" i="10"/>
  <c r="G6" i="10"/>
  <c r="G7" i="10"/>
  <c r="G8" i="10"/>
  <c r="G9" i="10"/>
  <c r="G10" i="10"/>
  <c r="G11" i="10"/>
  <c r="G12" i="10"/>
  <c r="G14" i="10"/>
  <c r="G22" i="10" s="1"/>
  <c r="G15" i="10"/>
  <c r="G16" i="10"/>
  <c r="G17" i="10"/>
  <c r="G18" i="10"/>
  <c r="G19" i="10"/>
  <c r="G20" i="10"/>
  <c r="G21" i="10"/>
  <c r="G23" i="10"/>
  <c r="G35" i="10" s="1"/>
  <c r="G24" i="10"/>
  <c r="G25" i="10"/>
  <c r="G26" i="10"/>
  <c r="G27" i="10"/>
  <c r="G28" i="10"/>
  <c r="G29" i="10"/>
  <c r="G30" i="10"/>
  <c r="G31" i="10"/>
  <c r="G32" i="10"/>
  <c r="G33" i="10"/>
  <c r="G34" i="10"/>
  <c r="G36" i="10"/>
  <c r="G54" i="10" s="1"/>
  <c r="G37" i="10"/>
  <c r="G38" i="10"/>
  <c r="G39" i="10"/>
  <c r="G40" i="10"/>
  <c r="G41" i="10"/>
  <c r="G42" i="10"/>
  <c r="G43" i="10"/>
  <c r="G44" i="10"/>
  <c r="G45" i="10"/>
  <c r="G46" i="10"/>
  <c r="G47" i="10"/>
  <c r="G48" i="10"/>
  <c r="G49" i="10"/>
  <c r="G50" i="10"/>
  <c r="G51" i="10"/>
  <c r="G52" i="10"/>
  <c r="G53" i="10"/>
  <c r="G55" i="10"/>
  <c r="G74" i="10" s="1"/>
  <c r="G56" i="10"/>
  <c r="G57" i="10"/>
  <c r="G58" i="10"/>
  <c r="G59" i="10"/>
  <c r="G60" i="10"/>
  <c r="G61" i="10"/>
  <c r="G62" i="10"/>
  <c r="G63" i="10"/>
  <c r="G64" i="10"/>
  <c r="G65" i="10"/>
  <c r="G66" i="10"/>
  <c r="G67" i="10"/>
  <c r="G68" i="10"/>
  <c r="G69" i="10"/>
  <c r="G70" i="10"/>
  <c r="G71" i="10"/>
  <c r="G72" i="10"/>
  <c r="G73" i="10"/>
  <c r="G75" i="10"/>
  <c r="G95" i="10" s="1"/>
  <c r="G76" i="10"/>
  <c r="G77" i="10"/>
  <c r="G78" i="10"/>
  <c r="G79" i="10"/>
  <c r="G80" i="10"/>
  <c r="G81" i="10"/>
  <c r="G82" i="10"/>
  <c r="G83" i="10"/>
  <c r="G84" i="10"/>
  <c r="G85" i="10"/>
  <c r="G86" i="10"/>
  <c r="G87" i="10"/>
  <c r="G88" i="10"/>
  <c r="G89" i="10"/>
  <c r="G90" i="10"/>
  <c r="G91" i="10"/>
  <c r="G92" i="10"/>
  <c r="G93" i="10"/>
  <c r="G94" i="10"/>
  <c r="G96" i="10"/>
  <c r="G97" i="10"/>
  <c r="G98" i="10"/>
  <c r="G99" i="10"/>
  <c r="G101" i="10" s="1"/>
  <c r="G100" i="10"/>
  <c r="G102" i="10"/>
  <c r="G109" i="10" s="1"/>
  <c r="G103" i="10"/>
  <c r="G104" i="10"/>
  <c r="G105" i="10"/>
  <c r="G106" i="10"/>
  <c r="G107" i="10"/>
  <c r="G108" i="10"/>
  <c r="G110" i="10"/>
  <c r="G125" i="10" s="1"/>
  <c r="G111" i="10"/>
  <c r="G112" i="10"/>
  <c r="G113" i="10"/>
  <c r="G114" i="10"/>
  <c r="G115" i="10"/>
  <c r="G116" i="10"/>
  <c r="G117" i="10"/>
  <c r="G118" i="10"/>
  <c r="G119" i="10"/>
  <c r="G120" i="10"/>
  <c r="G121" i="10"/>
  <c r="G122" i="10"/>
  <c r="G123" i="10"/>
  <c r="G124" i="10"/>
  <c r="G3" i="10"/>
  <c r="G13" i="10" s="1"/>
  <c r="F106" i="18"/>
  <c r="G126" i="10" l="1"/>
  <c r="G128" i="18"/>
  <c r="H128" i="18"/>
  <c r="H129" i="18" s="1"/>
  <c r="J128" i="18"/>
  <c r="K128" i="18"/>
  <c r="K129" i="18" s="1"/>
  <c r="L128" i="18"/>
  <c r="L129" i="18" s="1"/>
  <c r="F128" i="18"/>
  <c r="G117" i="18"/>
  <c r="H117" i="18"/>
  <c r="J117" i="18"/>
  <c r="J129" i="18" s="1"/>
  <c r="K117" i="18"/>
  <c r="L117" i="18"/>
  <c r="F117" i="18"/>
  <c r="H101" i="18"/>
  <c r="J101" i="18"/>
  <c r="K101" i="18"/>
  <c r="L101" i="18"/>
  <c r="G92" i="18"/>
  <c r="H92" i="18"/>
  <c r="J92" i="18"/>
  <c r="K92" i="18"/>
  <c r="L92" i="18"/>
  <c r="F92" i="18"/>
  <c r="G79" i="18"/>
  <c r="H79" i="18"/>
  <c r="J79" i="18"/>
  <c r="K79" i="18"/>
  <c r="L79" i="18"/>
  <c r="F79" i="18"/>
  <c r="G59" i="18"/>
  <c r="H59" i="18"/>
  <c r="J59" i="18"/>
  <c r="K59" i="18"/>
  <c r="L59" i="18"/>
  <c r="F59" i="18"/>
  <c r="G38" i="18"/>
  <c r="H38" i="18"/>
  <c r="J38" i="18"/>
  <c r="K38" i="18"/>
  <c r="L38" i="18"/>
  <c r="F38" i="18"/>
  <c r="G17" i="18"/>
  <c r="H17" i="18"/>
  <c r="J17" i="18"/>
  <c r="K17" i="18"/>
  <c r="L17" i="18"/>
  <c r="F17" i="18"/>
  <c r="G9" i="18"/>
  <c r="H9" i="18"/>
  <c r="J9" i="18"/>
  <c r="K9" i="18"/>
  <c r="L9" i="18"/>
  <c r="F9" i="18"/>
  <c r="P5" i="18"/>
  <c r="P6" i="18"/>
  <c r="P9" i="18" s="1"/>
  <c r="P7" i="18"/>
  <c r="P8" i="18"/>
  <c r="P10" i="18"/>
  <c r="P11" i="18"/>
  <c r="P17" i="18" s="1"/>
  <c r="P12" i="18"/>
  <c r="P13" i="18"/>
  <c r="P14" i="18"/>
  <c r="P15" i="18"/>
  <c r="P16" i="18"/>
  <c r="P18" i="18"/>
  <c r="P19" i="18"/>
  <c r="P20" i="18"/>
  <c r="P38" i="18" s="1"/>
  <c r="P21" i="18"/>
  <c r="P22" i="18"/>
  <c r="P23" i="18"/>
  <c r="P24" i="18"/>
  <c r="P25" i="18"/>
  <c r="P26" i="18"/>
  <c r="P27" i="18"/>
  <c r="P28" i="18"/>
  <c r="P29" i="18"/>
  <c r="P30" i="18"/>
  <c r="P31" i="18"/>
  <c r="P32" i="18"/>
  <c r="P33" i="18"/>
  <c r="P34" i="18"/>
  <c r="P35" i="18"/>
  <c r="P36" i="18"/>
  <c r="P37" i="18"/>
  <c r="P39" i="18"/>
  <c r="P40" i="18"/>
  <c r="P41" i="18"/>
  <c r="P59" i="18" s="1"/>
  <c r="P42" i="18"/>
  <c r="P43" i="18"/>
  <c r="P44" i="18"/>
  <c r="P45" i="18"/>
  <c r="P46" i="18"/>
  <c r="P47" i="18"/>
  <c r="P48" i="18"/>
  <c r="P49" i="18"/>
  <c r="P50" i="18"/>
  <c r="P51" i="18"/>
  <c r="P52" i="18"/>
  <c r="P53" i="18"/>
  <c r="P54" i="18"/>
  <c r="P55" i="18"/>
  <c r="P56" i="18"/>
  <c r="P57" i="18"/>
  <c r="P58" i="18"/>
  <c r="P60" i="18"/>
  <c r="P61" i="18"/>
  <c r="P62" i="18"/>
  <c r="P79" i="18" s="1"/>
  <c r="P63" i="18"/>
  <c r="P64" i="18"/>
  <c r="P65" i="18"/>
  <c r="P66" i="18"/>
  <c r="P67" i="18"/>
  <c r="P68" i="18"/>
  <c r="P69" i="18"/>
  <c r="P70" i="18"/>
  <c r="P71" i="18"/>
  <c r="P72" i="18"/>
  <c r="P73" i="18"/>
  <c r="P74" i="18"/>
  <c r="P75" i="18"/>
  <c r="P76" i="18"/>
  <c r="P77" i="18"/>
  <c r="P78" i="18"/>
  <c r="P80" i="18"/>
  <c r="P81" i="18"/>
  <c r="P82" i="18"/>
  <c r="P83" i="18"/>
  <c r="P92" i="18" s="1"/>
  <c r="P84" i="18"/>
  <c r="P85" i="18"/>
  <c r="P86" i="18"/>
  <c r="P87" i="18"/>
  <c r="P88" i="18"/>
  <c r="P89" i="18"/>
  <c r="P90" i="18"/>
  <c r="P91" i="18"/>
  <c r="P93" i="18"/>
  <c r="P94" i="18"/>
  <c r="P95" i="18"/>
  <c r="P96" i="18"/>
  <c r="P101" i="18" s="1"/>
  <c r="P97" i="18"/>
  <c r="P98" i="18"/>
  <c r="P99" i="18"/>
  <c r="P100" i="18"/>
  <c r="P102" i="18"/>
  <c r="P117" i="18" s="1"/>
  <c r="P103" i="18"/>
  <c r="P104" i="18"/>
  <c r="P105" i="18"/>
  <c r="P106" i="18"/>
  <c r="P107" i="18"/>
  <c r="P108" i="18"/>
  <c r="P109" i="18"/>
  <c r="P110" i="18"/>
  <c r="P111" i="18"/>
  <c r="P112" i="18"/>
  <c r="P113" i="18"/>
  <c r="P114" i="18"/>
  <c r="P115" i="18"/>
  <c r="P116" i="18"/>
  <c r="P118" i="18"/>
  <c r="P128" i="18" s="1"/>
  <c r="P119" i="18"/>
  <c r="P120" i="18"/>
  <c r="P121" i="18"/>
  <c r="P122" i="18"/>
  <c r="P123" i="18"/>
  <c r="P124" i="18"/>
  <c r="P125" i="18"/>
  <c r="P126" i="18"/>
  <c r="P127" i="18"/>
  <c r="O5" i="18"/>
  <c r="O6" i="18"/>
  <c r="O7" i="18"/>
  <c r="O8" i="18"/>
  <c r="O10" i="18"/>
  <c r="O17" i="18" s="1"/>
  <c r="O11" i="18"/>
  <c r="O12" i="18"/>
  <c r="O13" i="18"/>
  <c r="O14" i="18"/>
  <c r="O15" i="18"/>
  <c r="O16" i="18"/>
  <c r="O18" i="18"/>
  <c r="O38" i="18" s="1"/>
  <c r="O19" i="18"/>
  <c r="O20" i="18"/>
  <c r="O21" i="18"/>
  <c r="O22" i="18"/>
  <c r="O23" i="18"/>
  <c r="O24" i="18"/>
  <c r="O25" i="18"/>
  <c r="O26" i="18"/>
  <c r="O27" i="18"/>
  <c r="O28" i="18"/>
  <c r="O29" i="18"/>
  <c r="O30" i="18"/>
  <c r="O31" i="18"/>
  <c r="O32" i="18"/>
  <c r="O33" i="18"/>
  <c r="O34" i="18"/>
  <c r="O35" i="18"/>
  <c r="O36" i="18"/>
  <c r="O37" i="18"/>
  <c r="O39" i="18"/>
  <c r="O59" i="18" s="1"/>
  <c r="O40" i="18"/>
  <c r="O41" i="18"/>
  <c r="O42" i="18"/>
  <c r="O43" i="18"/>
  <c r="O44" i="18"/>
  <c r="O45" i="18"/>
  <c r="O46" i="18"/>
  <c r="O47" i="18"/>
  <c r="O48" i="18"/>
  <c r="O49" i="18"/>
  <c r="O50" i="18"/>
  <c r="O51" i="18"/>
  <c r="O52" i="18"/>
  <c r="O53" i="18"/>
  <c r="O54" i="18"/>
  <c r="O55" i="18"/>
  <c r="O56" i="18"/>
  <c r="O57" i="18"/>
  <c r="O58" i="18"/>
  <c r="O60" i="18"/>
  <c r="O79" i="18" s="1"/>
  <c r="O61" i="18"/>
  <c r="O62" i="18"/>
  <c r="O63" i="18"/>
  <c r="O64" i="18"/>
  <c r="O65" i="18"/>
  <c r="O66" i="18"/>
  <c r="O67" i="18"/>
  <c r="O68" i="18"/>
  <c r="O69" i="18"/>
  <c r="O70" i="18"/>
  <c r="O71" i="18"/>
  <c r="O72" i="18"/>
  <c r="O73" i="18"/>
  <c r="O74" i="18"/>
  <c r="O75" i="18"/>
  <c r="O76" i="18"/>
  <c r="O77" i="18"/>
  <c r="O78" i="18"/>
  <c r="O80" i="18"/>
  <c r="O92" i="18" s="1"/>
  <c r="O81" i="18"/>
  <c r="O82" i="18"/>
  <c r="O83" i="18"/>
  <c r="O84" i="18"/>
  <c r="O85" i="18"/>
  <c r="O86" i="18"/>
  <c r="O87" i="18"/>
  <c r="O88" i="18"/>
  <c r="O89" i="18"/>
  <c r="O90" i="18"/>
  <c r="O91" i="18"/>
  <c r="O93" i="18"/>
  <c r="O94" i="18"/>
  <c r="O95" i="18"/>
  <c r="O96" i="18"/>
  <c r="O97" i="18"/>
  <c r="O98" i="18"/>
  <c r="O100" i="18"/>
  <c r="O102" i="18"/>
  <c r="O103" i="18"/>
  <c r="O117" i="18" s="1"/>
  <c r="O104" i="18"/>
  <c r="O105" i="18"/>
  <c r="O106" i="18"/>
  <c r="O107" i="18"/>
  <c r="O108" i="18"/>
  <c r="O109" i="18"/>
  <c r="O110" i="18"/>
  <c r="O111" i="18"/>
  <c r="O112" i="18"/>
  <c r="O113" i="18"/>
  <c r="O114" i="18"/>
  <c r="O115" i="18"/>
  <c r="O116" i="18"/>
  <c r="O118" i="18"/>
  <c r="O128" i="18" s="1"/>
  <c r="O119" i="18"/>
  <c r="O120" i="18"/>
  <c r="O121" i="18"/>
  <c r="O122" i="18"/>
  <c r="O123" i="18"/>
  <c r="O124" i="18"/>
  <c r="O125" i="18"/>
  <c r="O126" i="18"/>
  <c r="O127" i="18"/>
  <c r="N5" i="18"/>
  <c r="N6" i="18"/>
  <c r="N7" i="18"/>
  <c r="N8" i="18"/>
  <c r="N10" i="18"/>
  <c r="N17" i="18" s="1"/>
  <c r="N11" i="18"/>
  <c r="N12" i="18"/>
  <c r="N13" i="18"/>
  <c r="N14" i="18"/>
  <c r="N15" i="18"/>
  <c r="N16" i="18"/>
  <c r="N18" i="18"/>
  <c r="N38" i="18" s="1"/>
  <c r="N19" i="18"/>
  <c r="N20" i="18"/>
  <c r="N21" i="18"/>
  <c r="N22" i="18"/>
  <c r="N23" i="18"/>
  <c r="N24" i="18"/>
  <c r="N25" i="18"/>
  <c r="N26" i="18"/>
  <c r="N27" i="18"/>
  <c r="N28" i="18"/>
  <c r="N29" i="18"/>
  <c r="N30" i="18"/>
  <c r="N31" i="18"/>
  <c r="N32" i="18"/>
  <c r="N33" i="18"/>
  <c r="N34" i="18"/>
  <c r="N35" i="18"/>
  <c r="N36" i="18"/>
  <c r="N37" i="18"/>
  <c r="N39" i="18"/>
  <c r="N59" i="18" s="1"/>
  <c r="N40" i="18"/>
  <c r="N41" i="18"/>
  <c r="N42" i="18"/>
  <c r="N43" i="18"/>
  <c r="N44" i="18"/>
  <c r="N45" i="18"/>
  <c r="N46" i="18"/>
  <c r="N47" i="18"/>
  <c r="N48" i="18"/>
  <c r="N49" i="18"/>
  <c r="N50" i="18"/>
  <c r="N51" i="18"/>
  <c r="N52" i="18"/>
  <c r="N53" i="18"/>
  <c r="N54" i="18"/>
  <c r="N55" i="18"/>
  <c r="N56" i="18"/>
  <c r="N57" i="18"/>
  <c r="N58" i="18"/>
  <c r="N60" i="18"/>
  <c r="N79" i="18" s="1"/>
  <c r="N61" i="18"/>
  <c r="N62" i="18"/>
  <c r="N63" i="18"/>
  <c r="N64" i="18"/>
  <c r="N65" i="18"/>
  <c r="N66" i="18"/>
  <c r="N67" i="18"/>
  <c r="N68" i="18"/>
  <c r="N69" i="18"/>
  <c r="N70" i="18"/>
  <c r="N71" i="18"/>
  <c r="N72" i="18"/>
  <c r="N73" i="18"/>
  <c r="N74" i="18"/>
  <c r="N75" i="18"/>
  <c r="N76" i="18"/>
  <c r="N77" i="18"/>
  <c r="N78" i="18"/>
  <c r="N80" i="18"/>
  <c r="N92" i="18" s="1"/>
  <c r="N81" i="18"/>
  <c r="N82" i="18"/>
  <c r="N83" i="18"/>
  <c r="N84" i="18"/>
  <c r="N85" i="18"/>
  <c r="N86" i="18"/>
  <c r="N87" i="18"/>
  <c r="N88" i="18"/>
  <c r="N89" i="18"/>
  <c r="N90" i="18"/>
  <c r="N91" i="18"/>
  <c r="N93" i="18"/>
  <c r="N94" i="18"/>
  <c r="N95" i="18"/>
  <c r="N96" i="18"/>
  <c r="N97" i="18"/>
  <c r="N98" i="18"/>
  <c r="N100" i="18"/>
  <c r="N102" i="18"/>
  <c r="N103" i="18"/>
  <c r="N104" i="18"/>
  <c r="N105" i="18"/>
  <c r="N106" i="18"/>
  <c r="N107" i="18"/>
  <c r="N108" i="18"/>
  <c r="N109" i="18"/>
  <c r="N110" i="18"/>
  <c r="N111" i="18"/>
  <c r="N112" i="18"/>
  <c r="N113" i="18"/>
  <c r="N114" i="18"/>
  <c r="N115" i="18"/>
  <c r="N116" i="18"/>
  <c r="N118" i="18"/>
  <c r="N128" i="18" s="1"/>
  <c r="N119" i="18"/>
  <c r="N120" i="18"/>
  <c r="N121" i="18"/>
  <c r="N122" i="18"/>
  <c r="N123" i="18"/>
  <c r="N124" i="18"/>
  <c r="N125" i="18"/>
  <c r="N126" i="18"/>
  <c r="N127" i="18"/>
  <c r="O4" i="18"/>
  <c r="O9" i="18" s="1"/>
  <c r="P4" i="18"/>
  <c r="N4" i="18"/>
  <c r="N9" i="18" s="1"/>
  <c r="M5" i="18"/>
  <c r="M6" i="18"/>
  <c r="M7" i="18"/>
  <c r="M8" i="18"/>
  <c r="M10" i="18"/>
  <c r="M17" i="18" s="1"/>
  <c r="M11" i="18"/>
  <c r="M12" i="18"/>
  <c r="M13" i="18"/>
  <c r="M14" i="18"/>
  <c r="M15" i="18"/>
  <c r="M16" i="18"/>
  <c r="M18" i="18"/>
  <c r="M38" i="18" s="1"/>
  <c r="M19" i="18"/>
  <c r="M20" i="18"/>
  <c r="M21" i="18"/>
  <c r="M22" i="18"/>
  <c r="M23" i="18"/>
  <c r="M24" i="18"/>
  <c r="M25" i="18"/>
  <c r="M26" i="18"/>
  <c r="M27" i="18"/>
  <c r="M28" i="18"/>
  <c r="M29" i="18"/>
  <c r="M30" i="18"/>
  <c r="M31" i="18"/>
  <c r="M32" i="18"/>
  <c r="M33" i="18"/>
  <c r="M34" i="18"/>
  <c r="M35" i="18"/>
  <c r="M36" i="18"/>
  <c r="M37" i="18"/>
  <c r="M39" i="18"/>
  <c r="M59" i="18" s="1"/>
  <c r="M40" i="18"/>
  <c r="M41" i="18"/>
  <c r="M42" i="18"/>
  <c r="M43" i="18"/>
  <c r="M44" i="18"/>
  <c r="M45" i="18"/>
  <c r="M46" i="18"/>
  <c r="M47" i="18"/>
  <c r="M48" i="18"/>
  <c r="M49" i="18"/>
  <c r="M50" i="18"/>
  <c r="M51" i="18"/>
  <c r="M52" i="18"/>
  <c r="M53" i="18"/>
  <c r="M54" i="18"/>
  <c r="M55" i="18"/>
  <c r="M56" i="18"/>
  <c r="M57" i="18"/>
  <c r="M58" i="18"/>
  <c r="M60" i="18"/>
  <c r="M79" i="18" s="1"/>
  <c r="M61" i="18"/>
  <c r="M62" i="18"/>
  <c r="M63" i="18"/>
  <c r="M64" i="18"/>
  <c r="M65" i="18"/>
  <c r="M66" i="18"/>
  <c r="M67" i="18"/>
  <c r="M68" i="18"/>
  <c r="M69" i="18"/>
  <c r="M70" i="18"/>
  <c r="M71" i="18"/>
  <c r="M72" i="18"/>
  <c r="M73" i="18"/>
  <c r="M74" i="18"/>
  <c r="M75" i="18"/>
  <c r="M76" i="18"/>
  <c r="M77" i="18"/>
  <c r="M78" i="18"/>
  <c r="M80" i="18"/>
  <c r="M92" i="18" s="1"/>
  <c r="M81" i="18"/>
  <c r="M82" i="18"/>
  <c r="M83" i="18"/>
  <c r="M84" i="18"/>
  <c r="M85" i="18"/>
  <c r="M86" i="18"/>
  <c r="M87" i="18"/>
  <c r="M88" i="18"/>
  <c r="M89" i="18"/>
  <c r="M90" i="18"/>
  <c r="M91" i="18"/>
  <c r="M93" i="18"/>
  <c r="M101" i="18" s="1"/>
  <c r="M94" i="18"/>
  <c r="M95" i="18"/>
  <c r="M96" i="18"/>
  <c r="M97" i="18"/>
  <c r="M98" i="18"/>
  <c r="M99" i="18"/>
  <c r="M100" i="18"/>
  <c r="M102" i="18"/>
  <c r="M117" i="18" s="1"/>
  <c r="M103" i="18"/>
  <c r="M104" i="18"/>
  <c r="M105" i="18"/>
  <c r="M106" i="18"/>
  <c r="M107" i="18"/>
  <c r="M108" i="18"/>
  <c r="M109" i="18"/>
  <c r="M110" i="18"/>
  <c r="M111" i="18"/>
  <c r="M112" i="18"/>
  <c r="M113" i="18"/>
  <c r="M114" i="18"/>
  <c r="M115" i="18"/>
  <c r="M116" i="18"/>
  <c r="M118" i="18"/>
  <c r="M119" i="18"/>
  <c r="M120" i="18"/>
  <c r="M128" i="18" s="1"/>
  <c r="M121" i="18"/>
  <c r="M122" i="18"/>
  <c r="M123" i="18"/>
  <c r="M124" i="18"/>
  <c r="M125" i="18"/>
  <c r="M126" i="18"/>
  <c r="M127" i="18"/>
  <c r="M4" i="18"/>
  <c r="M9" i="18" s="1"/>
  <c r="M129" i="18" l="1"/>
  <c r="P129" i="18"/>
  <c r="N117" i="18"/>
  <c r="I5" i="18"/>
  <c r="Q5" i="18" s="1"/>
  <c r="I6" i="18"/>
  <c r="Q6" i="18" s="1"/>
  <c r="I7" i="18"/>
  <c r="Q7" i="18" s="1"/>
  <c r="I8" i="18"/>
  <c r="Q8" i="18" s="1"/>
  <c r="I10" i="18"/>
  <c r="I11" i="18"/>
  <c r="Q11" i="18" s="1"/>
  <c r="I12" i="18"/>
  <c r="Q12" i="18" s="1"/>
  <c r="I13" i="18"/>
  <c r="Q13" i="18" s="1"/>
  <c r="I14" i="18"/>
  <c r="Q14" i="18" s="1"/>
  <c r="I15" i="18"/>
  <c r="Q15" i="18" s="1"/>
  <c r="I16" i="18"/>
  <c r="Q16" i="18" s="1"/>
  <c r="I18" i="18"/>
  <c r="I19" i="18"/>
  <c r="Q19" i="18" s="1"/>
  <c r="I20" i="18"/>
  <c r="Q20" i="18" s="1"/>
  <c r="I21" i="18"/>
  <c r="Q21" i="18" s="1"/>
  <c r="I22" i="18"/>
  <c r="Q22" i="18" s="1"/>
  <c r="I23" i="18"/>
  <c r="Q23" i="18" s="1"/>
  <c r="I24" i="18"/>
  <c r="Q24" i="18" s="1"/>
  <c r="I25" i="18"/>
  <c r="Q25" i="18" s="1"/>
  <c r="I26" i="18"/>
  <c r="Q26" i="18" s="1"/>
  <c r="I27" i="18"/>
  <c r="Q27" i="18" s="1"/>
  <c r="I28" i="18"/>
  <c r="Q28" i="18" s="1"/>
  <c r="I29" i="18"/>
  <c r="Q29" i="18" s="1"/>
  <c r="I30" i="18"/>
  <c r="Q30" i="18" s="1"/>
  <c r="I31" i="18"/>
  <c r="Q31" i="18" s="1"/>
  <c r="I32" i="18"/>
  <c r="Q32" i="18" s="1"/>
  <c r="I33" i="18"/>
  <c r="Q33" i="18" s="1"/>
  <c r="I34" i="18"/>
  <c r="Q34" i="18" s="1"/>
  <c r="I35" i="18"/>
  <c r="Q35" i="18" s="1"/>
  <c r="I36" i="18"/>
  <c r="Q36" i="18" s="1"/>
  <c r="I37" i="18"/>
  <c r="Q37" i="18" s="1"/>
  <c r="I39" i="18"/>
  <c r="I40" i="18"/>
  <c r="Q40" i="18" s="1"/>
  <c r="I41" i="18"/>
  <c r="Q41" i="18" s="1"/>
  <c r="I42" i="18"/>
  <c r="Q42" i="18" s="1"/>
  <c r="I43" i="18"/>
  <c r="Q43" i="18" s="1"/>
  <c r="I44" i="18"/>
  <c r="Q44" i="18" s="1"/>
  <c r="I45" i="18"/>
  <c r="Q45" i="18" s="1"/>
  <c r="I46" i="18"/>
  <c r="Q46" i="18" s="1"/>
  <c r="I47" i="18"/>
  <c r="Q47" i="18" s="1"/>
  <c r="I48" i="18"/>
  <c r="Q48" i="18" s="1"/>
  <c r="I49" i="18"/>
  <c r="Q49" i="18" s="1"/>
  <c r="I50" i="18"/>
  <c r="Q50" i="18" s="1"/>
  <c r="I51" i="18"/>
  <c r="Q51" i="18" s="1"/>
  <c r="I52" i="18"/>
  <c r="Q52" i="18" s="1"/>
  <c r="I53" i="18"/>
  <c r="Q53" i="18" s="1"/>
  <c r="I54" i="18"/>
  <c r="Q54" i="18" s="1"/>
  <c r="I55" i="18"/>
  <c r="Q55" i="18" s="1"/>
  <c r="I56" i="18"/>
  <c r="Q56" i="18" s="1"/>
  <c r="I57" i="18"/>
  <c r="Q57" i="18" s="1"/>
  <c r="I58" i="18"/>
  <c r="Q58" i="18" s="1"/>
  <c r="I60" i="18"/>
  <c r="I61" i="18"/>
  <c r="Q61" i="18" s="1"/>
  <c r="I62" i="18"/>
  <c r="Q62" i="18" s="1"/>
  <c r="I63" i="18"/>
  <c r="Q63" i="18" s="1"/>
  <c r="I64" i="18"/>
  <c r="Q64" i="18" s="1"/>
  <c r="I65" i="18"/>
  <c r="Q65" i="18" s="1"/>
  <c r="I66" i="18"/>
  <c r="Q66" i="18" s="1"/>
  <c r="I67" i="18"/>
  <c r="Q67" i="18" s="1"/>
  <c r="I68" i="18"/>
  <c r="Q68" i="18" s="1"/>
  <c r="I69" i="18"/>
  <c r="Q69" i="18" s="1"/>
  <c r="I70" i="18"/>
  <c r="Q70" i="18" s="1"/>
  <c r="I71" i="18"/>
  <c r="Q71" i="18" s="1"/>
  <c r="I72" i="18"/>
  <c r="Q72" i="18" s="1"/>
  <c r="I73" i="18"/>
  <c r="Q73" i="18" s="1"/>
  <c r="I74" i="18"/>
  <c r="Q74" i="18" s="1"/>
  <c r="I75" i="18"/>
  <c r="Q75" i="18" s="1"/>
  <c r="I76" i="18"/>
  <c r="Q76" i="18" s="1"/>
  <c r="I77" i="18"/>
  <c r="Q77" i="18" s="1"/>
  <c r="I78" i="18"/>
  <c r="Q78" i="18" s="1"/>
  <c r="I80" i="18"/>
  <c r="I81" i="18"/>
  <c r="Q81" i="18" s="1"/>
  <c r="I82" i="18"/>
  <c r="Q82" i="18" s="1"/>
  <c r="I83" i="18"/>
  <c r="Q83" i="18" s="1"/>
  <c r="I84" i="18"/>
  <c r="Q84" i="18" s="1"/>
  <c r="I85" i="18"/>
  <c r="Q85" i="18" s="1"/>
  <c r="I86" i="18"/>
  <c r="Q86" i="18" s="1"/>
  <c r="I87" i="18"/>
  <c r="Q87" i="18" s="1"/>
  <c r="I88" i="18"/>
  <c r="Q88" i="18" s="1"/>
  <c r="I89" i="18"/>
  <c r="Q89" i="18" s="1"/>
  <c r="I90" i="18"/>
  <c r="Q90" i="18" s="1"/>
  <c r="I91" i="18"/>
  <c r="Q91" i="18" s="1"/>
  <c r="I93" i="18"/>
  <c r="I94" i="18"/>
  <c r="Q94" i="18" s="1"/>
  <c r="I95" i="18"/>
  <c r="Q95" i="18" s="1"/>
  <c r="I96" i="18"/>
  <c r="Q96" i="18" s="1"/>
  <c r="I97" i="18"/>
  <c r="Q97" i="18" s="1"/>
  <c r="I98" i="18"/>
  <c r="Q98" i="18" s="1"/>
  <c r="I100" i="18"/>
  <c r="Q100" i="18" s="1"/>
  <c r="I102" i="18"/>
  <c r="Q102" i="18" s="1"/>
  <c r="I103" i="18"/>
  <c r="Q103" i="18" s="1"/>
  <c r="I104" i="18"/>
  <c r="Q104" i="18" s="1"/>
  <c r="I105" i="18"/>
  <c r="Q105" i="18" s="1"/>
  <c r="I106" i="18"/>
  <c r="I107" i="18"/>
  <c r="Q107" i="18" s="1"/>
  <c r="I108" i="18"/>
  <c r="Q108" i="18" s="1"/>
  <c r="I109" i="18"/>
  <c r="Q109" i="18" s="1"/>
  <c r="I110" i="18"/>
  <c r="Q110" i="18" s="1"/>
  <c r="I111" i="18"/>
  <c r="Q111" i="18" s="1"/>
  <c r="I112" i="18"/>
  <c r="Q112" i="18" s="1"/>
  <c r="I113" i="18"/>
  <c r="Q113" i="18" s="1"/>
  <c r="I114" i="18"/>
  <c r="Q114" i="18" s="1"/>
  <c r="I115" i="18"/>
  <c r="Q115" i="18" s="1"/>
  <c r="I116" i="18"/>
  <c r="Q116" i="18" s="1"/>
  <c r="I118" i="18"/>
  <c r="I119" i="18"/>
  <c r="Q119" i="18" s="1"/>
  <c r="I120" i="18"/>
  <c r="Q120" i="18" s="1"/>
  <c r="I121" i="18"/>
  <c r="Q121" i="18" s="1"/>
  <c r="I122" i="18"/>
  <c r="Q122" i="18" s="1"/>
  <c r="I123" i="18"/>
  <c r="Q123" i="18" s="1"/>
  <c r="I124" i="18"/>
  <c r="Q124" i="18" s="1"/>
  <c r="I125" i="18"/>
  <c r="Q125" i="18" s="1"/>
  <c r="I126" i="18"/>
  <c r="Q126" i="18" s="1"/>
  <c r="I127" i="18"/>
  <c r="Q127" i="18" s="1"/>
  <c r="I4" i="18"/>
  <c r="G99" i="18"/>
  <c r="F99" i="18"/>
  <c r="S4" i="17"/>
  <c r="Q5" i="17"/>
  <c r="P5" i="17"/>
  <c r="O5" i="17"/>
  <c r="N5" i="17"/>
  <c r="L5" i="17"/>
  <c r="K5" i="17"/>
  <c r="J5" i="17"/>
  <c r="I5" i="17"/>
  <c r="G5" i="17"/>
  <c r="F5" i="17"/>
  <c r="E5" i="17"/>
  <c r="D5" i="17"/>
  <c r="R4" i="17"/>
  <c r="U4" i="17" s="1"/>
  <c r="U5" i="17" s="1"/>
  <c r="M4" i="17"/>
  <c r="M5" i="17" s="1"/>
  <c r="H4" i="17"/>
  <c r="H5" i="17" s="1"/>
  <c r="O99" i="18" l="1"/>
  <c r="O101" i="18" s="1"/>
  <c r="O129" i="18" s="1"/>
  <c r="G101" i="18"/>
  <c r="G129" i="18" s="1"/>
  <c r="Q60" i="18"/>
  <c r="Q79" i="18" s="1"/>
  <c r="I79" i="18"/>
  <c r="Q39" i="18"/>
  <c r="Q59" i="18" s="1"/>
  <c r="I59" i="18"/>
  <c r="Q4" i="18"/>
  <c r="Q9" i="18" s="1"/>
  <c r="I9" i="18"/>
  <c r="Q80" i="18"/>
  <c r="Q92" i="18" s="1"/>
  <c r="I92" i="18"/>
  <c r="Q18" i="18"/>
  <c r="Q38" i="18" s="1"/>
  <c r="I38" i="18"/>
  <c r="Q93" i="18"/>
  <c r="N99" i="18"/>
  <c r="N101" i="18" s="1"/>
  <c r="N129" i="18" s="1"/>
  <c r="F101" i="18"/>
  <c r="F129" i="18" s="1"/>
  <c r="Q118" i="18"/>
  <c r="Q128" i="18" s="1"/>
  <c r="I128" i="18"/>
  <c r="Q10" i="18"/>
  <c r="Q17" i="18" s="1"/>
  <c r="I17" i="18"/>
  <c r="Q106" i="18"/>
  <c r="Q117" i="18" s="1"/>
  <c r="I117" i="18"/>
  <c r="I99" i="18"/>
  <c r="Q99" i="18" s="1"/>
  <c r="S5" i="17"/>
  <c r="T4" i="17"/>
  <c r="T5" i="17" s="1"/>
  <c r="R5" i="17"/>
  <c r="X4" i="17"/>
  <c r="X5" i="17" s="1"/>
  <c r="W4" i="17"/>
  <c r="W5" i="17" s="1"/>
  <c r="V4" i="17"/>
  <c r="V5" i="17" s="1"/>
  <c r="Y4" i="17"/>
  <c r="Y5" i="17" s="1"/>
  <c r="Q101" i="18" l="1"/>
  <c r="I101" i="18"/>
  <c r="I129" i="18" s="1"/>
  <c r="Q129" i="18"/>
  <c r="Z4" i="17"/>
  <c r="Z5" i="17"/>
  <c r="AA4" i="17" l="1"/>
  <c r="AA5" i="17" s="1"/>
  <c r="F107" i="16" l="1"/>
  <c r="G107" i="16"/>
  <c r="H107" i="16"/>
  <c r="I107" i="16"/>
  <c r="J107" i="16"/>
  <c r="K107" i="16"/>
  <c r="L107" i="16"/>
  <c r="M107" i="16"/>
  <c r="E107" i="16"/>
  <c r="N106" i="16"/>
  <c r="N105" i="16"/>
  <c r="N104" i="16"/>
  <c r="N103" i="16"/>
  <c r="N102" i="16"/>
  <c r="N101" i="16"/>
  <c r="N100" i="16"/>
  <c r="N99" i="16"/>
  <c r="N98" i="16"/>
  <c r="N97" i="16"/>
  <c r="N96" i="16"/>
  <c r="N95" i="16"/>
  <c r="N94" i="16"/>
  <c r="N93" i="16"/>
  <c r="N92" i="16"/>
  <c r="N91" i="16"/>
  <c r="N90" i="16"/>
  <c r="N89" i="16"/>
  <c r="N88" i="16"/>
  <c r="N87" i="16"/>
  <c r="N86" i="16"/>
  <c r="N85" i="16"/>
  <c r="N84" i="16"/>
  <c r="N83" i="16"/>
  <c r="N82" i="16"/>
  <c r="N81" i="16"/>
  <c r="N80" i="16"/>
  <c r="N79" i="16"/>
  <c r="N78" i="16"/>
  <c r="N77" i="16"/>
  <c r="N76" i="16"/>
  <c r="N75" i="16"/>
  <c r="N74" i="16"/>
  <c r="N73" i="16"/>
  <c r="N72" i="16"/>
  <c r="N71" i="16"/>
  <c r="N70" i="16"/>
  <c r="N69" i="16"/>
  <c r="N68" i="16"/>
  <c r="N67" i="16"/>
  <c r="N66" i="16"/>
  <c r="N65" i="16"/>
  <c r="N64" i="16"/>
  <c r="N63" i="16"/>
  <c r="N62" i="16"/>
  <c r="N61" i="16"/>
  <c r="N60" i="16"/>
  <c r="N59" i="16"/>
  <c r="N58" i="16"/>
  <c r="N57" i="16"/>
  <c r="N56" i="16"/>
  <c r="N55" i="16"/>
  <c r="N54" i="16"/>
  <c r="N53" i="16"/>
  <c r="N52" i="16"/>
  <c r="N51" i="16"/>
  <c r="N50" i="16"/>
  <c r="N49" i="16"/>
  <c r="N48" i="16"/>
  <c r="N47" i="16"/>
  <c r="N46" i="16"/>
  <c r="N45" i="16"/>
  <c r="N44" i="16"/>
  <c r="N43" i="16"/>
  <c r="N42" i="16"/>
  <c r="N41" i="16"/>
  <c r="N40" i="16"/>
  <c r="N39" i="16"/>
  <c r="N38" i="16"/>
  <c r="N37" i="16"/>
  <c r="N36" i="16"/>
  <c r="N35" i="16"/>
  <c r="N34" i="16"/>
  <c r="N33" i="16"/>
  <c r="N32" i="16"/>
  <c r="N31" i="16"/>
  <c r="N30" i="16"/>
  <c r="N29" i="16"/>
  <c r="N28" i="16"/>
  <c r="N27" i="16"/>
  <c r="N26" i="16"/>
  <c r="N25" i="16"/>
  <c r="N24" i="16"/>
  <c r="N23" i="16"/>
  <c r="N22" i="16"/>
  <c r="N21" i="16"/>
  <c r="N20" i="16"/>
  <c r="N19" i="16"/>
  <c r="N18" i="16"/>
  <c r="N17" i="16"/>
  <c r="N16" i="16"/>
  <c r="N15" i="16"/>
  <c r="N14" i="16"/>
  <c r="N13" i="16"/>
  <c r="N12" i="16"/>
  <c r="N11" i="16"/>
  <c r="N10" i="16"/>
  <c r="N9" i="16"/>
  <c r="N8" i="16"/>
  <c r="N7" i="16"/>
  <c r="N6" i="16"/>
  <c r="N5" i="16"/>
  <c r="N4" i="16"/>
  <c r="N3" i="16"/>
  <c r="C126" i="15"/>
  <c r="C125" i="15"/>
  <c r="C114" i="15"/>
  <c r="C98" i="15"/>
  <c r="C89" i="15"/>
  <c r="C76" i="15"/>
  <c r="C57" i="15"/>
  <c r="C37" i="15"/>
  <c r="C16" i="15"/>
  <c r="C8" i="15"/>
  <c r="I6" i="14"/>
  <c r="I4" i="14"/>
  <c r="I7" i="14" s="1"/>
  <c r="I3" i="14"/>
  <c r="N107" i="16" l="1"/>
  <c r="Y106" i="1" l="1"/>
  <c r="F16" i="11"/>
  <c r="G16" i="11"/>
  <c r="H16" i="11"/>
  <c r="I16" i="11"/>
  <c r="J16" i="11"/>
  <c r="K16" i="11"/>
  <c r="L16" i="11"/>
  <c r="M16" i="11"/>
  <c r="N16" i="11"/>
  <c r="O16" i="11"/>
  <c r="P16" i="11"/>
  <c r="Q16" i="11"/>
  <c r="R16" i="11"/>
  <c r="S16" i="11"/>
  <c r="T16" i="11"/>
  <c r="U16" i="11"/>
  <c r="W16" i="11"/>
  <c r="E16" i="11"/>
  <c r="X106" i="11"/>
  <c r="X105" i="11"/>
  <c r="X104" i="11"/>
  <c r="X103" i="11"/>
  <c r="X102" i="11"/>
  <c r="X101" i="11"/>
  <c r="X100" i="11"/>
  <c r="X99" i="11"/>
  <c r="W98" i="11"/>
  <c r="V98" i="11"/>
  <c r="U98" i="11"/>
  <c r="T98" i="11"/>
  <c r="S98" i="11"/>
  <c r="R98" i="11"/>
  <c r="Q98" i="11"/>
  <c r="P98" i="11"/>
  <c r="O98" i="11"/>
  <c r="N98" i="11"/>
  <c r="M98" i="11"/>
  <c r="L98" i="11"/>
  <c r="K98" i="11"/>
  <c r="J98" i="11"/>
  <c r="I98" i="11"/>
  <c r="H98" i="11"/>
  <c r="G98" i="11"/>
  <c r="F98" i="11"/>
  <c r="E98" i="11"/>
  <c r="X97" i="11"/>
  <c r="X96" i="11"/>
  <c r="X95" i="11"/>
  <c r="X94" i="11"/>
  <c r="W93" i="11"/>
  <c r="V93" i="11"/>
  <c r="U93" i="11"/>
  <c r="U77" i="11" s="1"/>
  <c r="U76" i="11" s="1"/>
  <c r="T93" i="11"/>
  <c r="T77" i="11" s="1"/>
  <c r="T76" i="11" s="1"/>
  <c r="S93" i="11"/>
  <c r="R93" i="11"/>
  <c r="Q93" i="11"/>
  <c r="Q77" i="11" s="1"/>
  <c r="Q76" i="11" s="1"/>
  <c r="P93" i="11"/>
  <c r="P77" i="11" s="1"/>
  <c r="P76" i="11" s="1"/>
  <c r="O93" i="11"/>
  <c r="N93" i="11"/>
  <c r="M93" i="11"/>
  <c r="M77" i="11" s="1"/>
  <c r="M76" i="11" s="1"/>
  <c r="L93" i="11"/>
  <c r="L77" i="11" s="1"/>
  <c r="L76" i="11" s="1"/>
  <c r="K93" i="11"/>
  <c r="J93" i="11"/>
  <c r="I93" i="11"/>
  <c r="I77" i="11" s="1"/>
  <c r="I76" i="11" s="1"/>
  <c r="H93" i="11"/>
  <c r="H69" i="11" s="1"/>
  <c r="H68" i="11" s="1"/>
  <c r="G93" i="11"/>
  <c r="F93" i="11"/>
  <c r="F77" i="11" s="1"/>
  <c r="F76" i="11" s="1"/>
  <c r="E93" i="11"/>
  <c r="E77" i="11" s="1"/>
  <c r="X92" i="11"/>
  <c r="X91" i="11"/>
  <c r="W90" i="11"/>
  <c r="V90" i="11"/>
  <c r="U90" i="11"/>
  <c r="T90" i="11"/>
  <c r="S90" i="11"/>
  <c r="R90" i="11"/>
  <c r="Q90" i="11"/>
  <c r="P90" i="11"/>
  <c r="O90" i="11"/>
  <c r="N90" i="11"/>
  <c r="M90" i="11"/>
  <c r="L90" i="11"/>
  <c r="K90" i="11"/>
  <c r="J90" i="11"/>
  <c r="I90" i="11"/>
  <c r="H90" i="11"/>
  <c r="G90" i="11"/>
  <c r="F90" i="11"/>
  <c r="E90" i="11"/>
  <c r="X89" i="11"/>
  <c r="W88" i="11"/>
  <c r="V88" i="11"/>
  <c r="U88" i="11"/>
  <c r="T88" i="11"/>
  <c r="S88" i="11"/>
  <c r="R88" i="11"/>
  <c r="Q88" i="11"/>
  <c r="P88" i="11"/>
  <c r="O88" i="11"/>
  <c r="N88" i="11"/>
  <c r="M88" i="11"/>
  <c r="L88" i="11"/>
  <c r="K88" i="11"/>
  <c r="J88" i="11"/>
  <c r="I88" i="11"/>
  <c r="H88" i="11"/>
  <c r="G88" i="11"/>
  <c r="F88" i="11"/>
  <c r="E88" i="11"/>
  <c r="W87" i="11"/>
  <c r="V87" i="11"/>
  <c r="U87" i="11"/>
  <c r="T87" i="11"/>
  <c r="T86" i="11" s="1"/>
  <c r="S87" i="11"/>
  <c r="S86" i="11" s="1"/>
  <c r="R87" i="11"/>
  <c r="Q87" i="11"/>
  <c r="P87" i="11"/>
  <c r="P86" i="11" s="1"/>
  <c r="O87" i="11"/>
  <c r="N87" i="11"/>
  <c r="M87" i="11"/>
  <c r="L87" i="11"/>
  <c r="L86" i="11" s="1"/>
  <c r="K87" i="11"/>
  <c r="K86" i="11" s="1"/>
  <c r="J87" i="11"/>
  <c r="I87" i="11"/>
  <c r="H87" i="11"/>
  <c r="H86" i="11" s="1"/>
  <c r="G87" i="11"/>
  <c r="G86" i="11" s="1"/>
  <c r="G82" i="11" s="1"/>
  <c r="F87" i="11"/>
  <c r="E87" i="11"/>
  <c r="W86" i="11"/>
  <c r="W82" i="11" s="1"/>
  <c r="O86" i="11"/>
  <c r="X85" i="11"/>
  <c r="X84" i="11"/>
  <c r="W83" i="11"/>
  <c r="V83" i="11"/>
  <c r="U83" i="11"/>
  <c r="T83" i="11"/>
  <c r="S83" i="11"/>
  <c r="R83" i="11"/>
  <c r="Q83" i="11"/>
  <c r="P83" i="11"/>
  <c r="O83" i="11"/>
  <c r="N83" i="11"/>
  <c r="M83" i="11"/>
  <c r="L83" i="11"/>
  <c r="K83" i="11"/>
  <c r="J83" i="11"/>
  <c r="I83" i="11"/>
  <c r="H83" i="11"/>
  <c r="G83" i="11"/>
  <c r="F83" i="11"/>
  <c r="E83" i="11"/>
  <c r="X81" i="11"/>
  <c r="W80" i="11"/>
  <c r="V80" i="11"/>
  <c r="U80" i="11"/>
  <c r="T80" i="11"/>
  <c r="S80" i="11"/>
  <c r="R80" i="11"/>
  <c r="Q80" i="11"/>
  <c r="P80" i="11"/>
  <c r="O80" i="11"/>
  <c r="N80" i="11"/>
  <c r="M80" i="11"/>
  <c r="L80" i="11"/>
  <c r="K80" i="11"/>
  <c r="J80" i="11"/>
  <c r="I80" i="11"/>
  <c r="H80" i="11"/>
  <c r="G80" i="11"/>
  <c r="F80" i="11"/>
  <c r="E80" i="11"/>
  <c r="W79" i="11"/>
  <c r="W78" i="11" s="1"/>
  <c r="V79" i="11"/>
  <c r="T79" i="11"/>
  <c r="T78" i="11" s="1"/>
  <c r="Q79" i="11"/>
  <c r="Q78" i="11" s="1"/>
  <c r="P79" i="11"/>
  <c r="P78" i="11" s="1"/>
  <c r="O79" i="11"/>
  <c r="O78" i="11" s="1"/>
  <c r="M79" i="11"/>
  <c r="M78" i="11" s="1"/>
  <c r="L79" i="11"/>
  <c r="L78" i="11" s="1"/>
  <c r="K79" i="11"/>
  <c r="K78" i="11" s="1"/>
  <c r="J79" i="11"/>
  <c r="I79" i="11"/>
  <c r="I78" i="11" s="1"/>
  <c r="H79" i="11"/>
  <c r="H78" i="11" s="1"/>
  <c r="E79" i="11"/>
  <c r="E78" i="11" s="1"/>
  <c r="V78" i="11"/>
  <c r="J78" i="11"/>
  <c r="W77" i="11"/>
  <c r="W76" i="11" s="1"/>
  <c r="V77" i="11"/>
  <c r="S77" i="11"/>
  <c r="S76" i="11" s="1"/>
  <c r="R77" i="11"/>
  <c r="O77" i="11"/>
  <c r="O76" i="11" s="1"/>
  <c r="N77" i="11"/>
  <c r="K77" i="11"/>
  <c r="K76" i="11" s="1"/>
  <c r="J77" i="11"/>
  <c r="J76" i="11" s="1"/>
  <c r="G77" i="11"/>
  <c r="G76" i="11" s="1"/>
  <c r="V76" i="11"/>
  <c r="R76" i="11"/>
  <c r="N76" i="11"/>
  <c r="X75" i="11"/>
  <c r="W74" i="11"/>
  <c r="V74" i="11"/>
  <c r="U74" i="11"/>
  <c r="T74" i="11"/>
  <c r="S74" i="11"/>
  <c r="R74" i="11"/>
  <c r="Q74" i="11"/>
  <c r="P74" i="11"/>
  <c r="O74" i="11"/>
  <c r="N74" i="11"/>
  <c r="M74" i="11"/>
  <c r="L74" i="11"/>
  <c r="K74" i="11"/>
  <c r="J74" i="11"/>
  <c r="I74" i="11"/>
  <c r="H74" i="11"/>
  <c r="G74" i="11"/>
  <c r="F74" i="11"/>
  <c r="E74" i="11"/>
  <c r="W73" i="11"/>
  <c r="V73" i="11"/>
  <c r="U73" i="11"/>
  <c r="U72" i="11" s="1"/>
  <c r="T73" i="11"/>
  <c r="T72" i="11" s="1"/>
  <c r="S73" i="11"/>
  <c r="S72" i="11" s="1"/>
  <c r="R73" i="11"/>
  <c r="Q73" i="11"/>
  <c r="Q72" i="11" s="1"/>
  <c r="P73" i="11"/>
  <c r="P72" i="11" s="1"/>
  <c r="O73" i="11"/>
  <c r="O72" i="11" s="1"/>
  <c r="N73" i="11"/>
  <c r="N72" i="11" s="1"/>
  <c r="M73" i="11"/>
  <c r="M72" i="11" s="1"/>
  <c r="L73" i="11"/>
  <c r="K73" i="11"/>
  <c r="J73" i="11"/>
  <c r="I73" i="11"/>
  <c r="I72" i="11" s="1"/>
  <c r="H73" i="11"/>
  <c r="H72" i="11" s="1"/>
  <c r="G73" i="11"/>
  <c r="G72" i="11" s="1"/>
  <c r="F73" i="11"/>
  <c r="E73" i="11"/>
  <c r="W72" i="11"/>
  <c r="V72" i="11"/>
  <c r="R72" i="11"/>
  <c r="L72" i="11"/>
  <c r="K72" i="11"/>
  <c r="J72" i="11"/>
  <c r="F72" i="11"/>
  <c r="W71" i="11"/>
  <c r="W70" i="11" s="1"/>
  <c r="V71" i="11"/>
  <c r="U71" i="11"/>
  <c r="U70" i="11" s="1"/>
  <c r="T71" i="11"/>
  <c r="T70" i="11" s="1"/>
  <c r="S71" i="11"/>
  <c r="S70" i="11" s="1"/>
  <c r="R71" i="11"/>
  <c r="Q71" i="11"/>
  <c r="Q70" i="11" s="1"/>
  <c r="P71" i="11"/>
  <c r="P70" i="11" s="1"/>
  <c r="O71" i="11"/>
  <c r="O70" i="11" s="1"/>
  <c r="N71" i="11"/>
  <c r="M71" i="11"/>
  <c r="L71" i="11"/>
  <c r="K71" i="11"/>
  <c r="K70" i="11" s="1"/>
  <c r="J71" i="11"/>
  <c r="I71" i="11"/>
  <c r="I70" i="11" s="1"/>
  <c r="H71" i="11"/>
  <c r="H70" i="11" s="1"/>
  <c r="G71" i="11"/>
  <c r="G70" i="11" s="1"/>
  <c r="F71" i="11"/>
  <c r="F70" i="11" s="1"/>
  <c r="E71" i="11"/>
  <c r="E70" i="11" s="1"/>
  <c r="V70" i="11"/>
  <c r="R70" i="11"/>
  <c r="N70" i="11"/>
  <c r="M70" i="11"/>
  <c r="L70" i="11"/>
  <c r="J70" i="11"/>
  <c r="W69" i="11"/>
  <c r="W68" i="11" s="1"/>
  <c r="V69" i="11"/>
  <c r="V68" i="11" s="1"/>
  <c r="U69" i="11"/>
  <c r="U68" i="11" s="1"/>
  <c r="S69" i="11"/>
  <c r="S68" i="11" s="1"/>
  <c r="R69" i="11"/>
  <c r="R68" i="11" s="1"/>
  <c r="Q69" i="11"/>
  <c r="Q68" i="11" s="1"/>
  <c r="O69" i="11"/>
  <c r="O68" i="11" s="1"/>
  <c r="N69" i="11"/>
  <c r="N68" i="11" s="1"/>
  <c r="M69" i="11"/>
  <c r="M68" i="11" s="1"/>
  <c r="K69" i="11"/>
  <c r="K68" i="11" s="1"/>
  <c r="J69" i="11"/>
  <c r="J68" i="11" s="1"/>
  <c r="I69" i="11"/>
  <c r="I68" i="11" s="1"/>
  <c r="G69" i="11"/>
  <c r="F69" i="11"/>
  <c r="F68" i="11" s="1"/>
  <c r="E69" i="11"/>
  <c r="G68" i="11"/>
  <c r="X67" i="11"/>
  <c r="X66" i="11"/>
  <c r="X65" i="11"/>
  <c r="X64" i="11"/>
  <c r="X63" i="11"/>
  <c r="X62" i="11"/>
  <c r="X61" i="11"/>
  <c r="X60" i="11"/>
  <c r="X59" i="11"/>
  <c r="X58" i="11"/>
  <c r="X57" i="11"/>
  <c r="X56" i="11"/>
  <c r="X55" i="11"/>
  <c r="X54" i="11"/>
  <c r="X53" i="11"/>
  <c r="X52" i="11"/>
  <c r="X51" i="11"/>
  <c r="X50" i="11"/>
  <c r="X48" i="11"/>
  <c r="X47" i="11"/>
  <c r="X46" i="11"/>
  <c r="U45" i="11"/>
  <c r="U44" i="11" s="1"/>
  <c r="Q45" i="11"/>
  <c r="N45" i="11"/>
  <c r="N44" i="11" s="1"/>
  <c r="G45" i="11"/>
  <c r="W44" i="11"/>
  <c r="V44" i="11"/>
  <c r="T44" i="11"/>
  <c r="S44" i="11"/>
  <c r="R44" i="11"/>
  <c r="Q44" i="11"/>
  <c r="P44" i="11"/>
  <c r="O44" i="11"/>
  <c r="M44" i="11"/>
  <c r="L44" i="11"/>
  <c r="K44" i="11"/>
  <c r="J44" i="11"/>
  <c r="I44" i="11"/>
  <c r="H44" i="11"/>
  <c r="F44" i="11"/>
  <c r="E44" i="11"/>
  <c r="U43" i="11"/>
  <c r="S43" i="11"/>
  <c r="S42" i="11" s="1"/>
  <c r="P43" i="11"/>
  <c r="P42" i="11" s="1"/>
  <c r="G43" i="11"/>
  <c r="G42" i="11" s="1"/>
  <c r="F43" i="11"/>
  <c r="F42" i="11" s="1"/>
  <c r="E43" i="11"/>
  <c r="E42" i="11" s="1"/>
  <c r="W42" i="11"/>
  <c r="V42" i="11"/>
  <c r="U42" i="11"/>
  <c r="T42" i="11"/>
  <c r="R42" i="11"/>
  <c r="Q42" i="11"/>
  <c r="O42" i="11"/>
  <c r="N42" i="11"/>
  <c r="M42" i="11"/>
  <c r="L42" i="11"/>
  <c r="K42" i="11"/>
  <c r="J42" i="11"/>
  <c r="I42" i="11"/>
  <c r="H42" i="11"/>
  <c r="X41" i="11"/>
  <c r="X40" i="11"/>
  <c r="W39" i="11"/>
  <c r="V39" i="11"/>
  <c r="U39" i="11"/>
  <c r="T39" i="11"/>
  <c r="S39" i="11"/>
  <c r="R39" i="11"/>
  <c r="Q39" i="11"/>
  <c r="P39" i="11"/>
  <c r="O39" i="11"/>
  <c r="N39" i="11"/>
  <c r="M39" i="11"/>
  <c r="L39" i="11"/>
  <c r="K39" i="11"/>
  <c r="J39" i="11"/>
  <c r="I39" i="11"/>
  <c r="H39" i="11"/>
  <c r="G39" i="11"/>
  <c r="F39" i="11"/>
  <c r="E39" i="11"/>
  <c r="X38" i="11"/>
  <c r="X37" i="11"/>
  <c r="X36" i="11"/>
  <c r="X35" i="11"/>
  <c r="X34" i="11"/>
  <c r="X33" i="11"/>
  <c r="X32" i="11"/>
  <c r="W31" i="11"/>
  <c r="W30" i="11" s="1"/>
  <c r="V31" i="11"/>
  <c r="V30" i="11" s="1"/>
  <c r="U31" i="11"/>
  <c r="T31" i="11"/>
  <c r="S31" i="11"/>
  <c r="S30" i="11" s="1"/>
  <c r="R31" i="11"/>
  <c r="R30" i="11" s="1"/>
  <c r="Q31" i="11"/>
  <c r="P31" i="11"/>
  <c r="O31" i="11"/>
  <c r="O30" i="11" s="1"/>
  <c r="N31" i="11"/>
  <c r="M31" i="11"/>
  <c r="L31" i="11"/>
  <c r="K31" i="11"/>
  <c r="K30" i="11" s="1"/>
  <c r="J31" i="11"/>
  <c r="I31" i="11"/>
  <c r="H31" i="11"/>
  <c r="G31" i="11"/>
  <c r="F31" i="11"/>
  <c r="F30" i="11" s="1"/>
  <c r="E31" i="11"/>
  <c r="X29" i="11"/>
  <c r="U28" i="11"/>
  <c r="U79" i="11" s="1"/>
  <c r="U78" i="11" s="1"/>
  <c r="S28" i="11"/>
  <c r="S79" i="11" s="1"/>
  <c r="S78" i="11" s="1"/>
  <c r="R28" i="11"/>
  <c r="R79" i="11" s="1"/>
  <c r="R78" i="11" s="1"/>
  <c r="N28" i="11"/>
  <c r="N79" i="11" s="1"/>
  <c r="N78" i="11" s="1"/>
  <c r="G28" i="11"/>
  <c r="G79" i="11" s="1"/>
  <c r="G78" i="11" s="1"/>
  <c r="F28" i="11"/>
  <c r="F26" i="11" s="1"/>
  <c r="F25" i="11" s="1"/>
  <c r="W27" i="11"/>
  <c r="V27" i="11"/>
  <c r="U27" i="11"/>
  <c r="S27" i="11"/>
  <c r="R27" i="11"/>
  <c r="Q27" i="11"/>
  <c r="O27" i="11"/>
  <c r="N27" i="11"/>
  <c r="M27" i="11"/>
  <c r="K27" i="11"/>
  <c r="J27" i="11"/>
  <c r="I27" i="11"/>
  <c r="G27" i="11"/>
  <c r="F27" i="11"/>
  <c r="E27" i="11"/>
  <c r="W26" i="11"/>
  <c r="W25" i="11" s="1"/>
  <c r="V26" i="11"/>
  <c r="T26" i="11"/>
  <c r="T25" i="11" s="1"/>
  <c r="S26" i="11"/>
  <c r="S25" i="11" s="1"/>
  <c r="Q26" i="11"/>
  <c r="Q25" i="11" s="1"/>
  <c r="P26" i="11"/>
  <c r="P25" i="11" s="1"/>
  <c r="O26" i="11"/>
  <c r="M26" i="11"/>
  <c r="M25" i="11" s="1"/>
  <c r="L26" i="11"/>
  <c r="L25" i="11" s="1"/>
  <c r="K26" i="11"/>
  <c r="K25" i="11" s="1"/>
  <c r="J26" i="11"/>
  <c r="I26" i="11"/>
  <c r="I25" i="11" s="1"/>
  <c r="H26" i="11"/>
  <c r="H25" i="11" s="1"/>
  <c r="E26" i="11"/>
  <c r="V25" i="11"/>
  <c r="O25" i="11"/>
  <c r="J25" i="11"/>
  <c r="E25" i="11"/>
  <c r="W24" i="11"/>
  <c r="V24" i="11"/>
  <c r="V23" i="11" s="1"/>
  <c r="T24" i="11"/>
  <c r="R24" i="11"/>
  <c r="R23" i="11" s="1"/>
  <c r="Q24" i="11"/>
  <c r="Q23" i="11" s="1"/>
  <c r="P24" i="11"/>
  <c r="P23" i="11" s="1"/>
  <c r="O24" i="11"/>
  <c r="O23" i="11" s="1"/>
  <c r="N24" i="11"/>
  <c r="N23" i="11" s="1"/>
  <c r="M24" i="11"/>
  <c r="L24" i="11"/>
  <c r="K24" i="11"/>
  <c r="K23" i="11" s="1"/>
  <c r="J24" i="11"/>
  <c r="J23" i="11" s="1"/>
  <c r="I24" i="11"/>
  <c r="I23" i="11" s="1"/>
  <c r="H24" i="11"/>
  <c r="H23" i="11" s="1"/>
  <c r="E24" i="11"/>
  <c r="W23" i="11"/>
  <c r="T23" i="11"/>
  <c r="M23" i="11"/>
  <c r="L23" i="11"/>
  <c r="E23" i="11"/>
  <c r="W22" i="11"/>
  <c r="V22" i="11"/>
  <c r="T22" i="11"/>
  <c r="S22" i="11"/>
  <c r="R22" i="11"/>
  <c r="Q22" i="11"/>
  <c r="P22" i="11"/>
  <c r="O22" i="11"/>
  <c r="N22" i="11"/>
  <c r="M22" i="11"/>
  <c r="L22" i="11"/>
  <c r="K22" i="11"/>
  <c r="J22" i="11"/>
  <c r="I22" i="11"/>
  <c r="H22" i="11"/>
  <c r="E22" i="11"/>
  <c r="E20" i="11" s="1"/>
  <c r="W21" i="11"/>
  <c r="W20" i="11" s="1"/>
  <c r="V21" i="11"/>
  <c r="V20" i="11" s="1"/>
  <c r="T21" i="11"/>
  <c r="S21" i="11"/>
  <c r="S20" i="11" s="1"/>
  <c r="R21" i="11"/>
  <c r="Q21" i="11"/>
  <c r="P21" i="11"/>
  <c r="O21" i="11"/>
  <c r="O20" i="11" s="1"/>
  <c r="N21" i="11"/>
  <c r="N20" i="11" s="1"/>
  <c r="M21" i="11"/>
  <c r="L21" i="11"/>
  <c r="K21" i="11"/>
  <c r="K20" i="11" s="1"/>
  <c r="J21" i="11"/>
  <c r="J20" i="11" s="1"/>
  <c r="I21" i="11"/>
  <c r="H21" i="11"/>
  <c r="G21" i="11"/>
  <c r="F21" i="11"/>
  <c r="E21" i="11"/>
  <c r="R20" i="11"/>
  <c r="Q20" i="11"/>
  <c r="M20" i="11"/>
  <c r="I20" i="11"/>
  <c r="W19" i="11"/>
  <c r="V19" i="11"/>
  <c r="T19" i="11"/>
  <c r="T18" i="11" s="1"/>
  <c r="R19" i="11"/>
  <c r="R18" i="11" s="1"/>
  <c r="Q19" i="11"/>
  <c r="Q18" i="11" s="1"/>
  <c r="P19" i="11"/>
  <c r="O19" i="11"/>
  <c r="O18" i="11" s="1"/>
  <c r="N19" i="11"/>
  <c r="N18" i="11" s="1"/>
  <c r="M19" i="11"/>
  <c r="M18" i="11" s="1"/>
  <c r="L19" i="11"/>
  <c r="L18" i="11" s="1"/>
  <c r="K19" i="11"/>
  <c r="K18" i="11" s="1"/>
  <c r="J19" i="11"/>
  <c r="J18" i="11" s="1"/>
  <c r="I19" i="11"/>
  <c r="I18" i="11" s="1"/>
  <c r="H19" i="11"/>
  <c r="E19" i="11"/>
  <c r="W18" i="11"/>
  <c r="V18" i="11"/>
  <c r="P18" i="11"/>
  <c r="H18" i="11"/>
  <c r="V17" i="11"/>
  <c r="V16" i="11" s="1"/>
  <c r="X15" i="11"/>
  <c r="W14" i="11"/>
  <c r="V14" i="11"/>
  <c r="T14" i="11"/>
  <c r="R14" i="11"/>
  <c r="Q14" i="11"/>
  <c r="P14" i="11"/>
  <c r="O14" i="11"/>
  <c r="N14" i="11"/>
  <c r="M14" i="11"/>
  <c r="L14" i="11"/>
  <c r="K14" i="11"/>
  <c r="J14" i="11"/>
  <c r="I14" i="11"/>
  <c r="H14" i="11"/>
  <c r="F14" i="11"/>
  <c r="E14" i="11"/>
  <c r="W13" i="11"/>
  <c r="W12" i="11" s="1"/>
  <c r="V13" i="11"/>
  <c r="V12" i="11" s="1"/>
  <c r="U13" i="11"/>
  <c r="T13" i="11"/>
  <c r="R13" i="11"/>
  <c r="Q13" i="11"/>
  <c r="P13" i="11"/>
  <c r="P12" i="11" s="1"/>
  <c r="O13" i="11"/>
  <c r="N13" i="11"/>
  <c r="N12" i="11" s="1"/>
  <c r="M13" i="11"/>
  <c r="L13" i="11"/>
  <c r="L12" i="11" s="1"/>
  <c r="K13" i="11"/>
  <c r="J13" i="11"/>
  <c r="J12" i="11" s="1"/>
  <c r="I13" i="11"/>
  <c r="H13" i="11"/>
  <c r="H12" i="11" s="1"/>
  <c r="E13" i="11"/>
  <c r="E12" i="11" s="1"/>
  <c r="W11" i="11"/>
  <c r="W10" i="11" s="1"/>
  <c r="W8" i="11" s="1"/>
  <c r="V11" i="11"/>
  <c r="S11" i="11"/>
  <c r="S10" i="11" s="1"/>
  <c r="S8" i="11" s="1"/>
  <c r="R11" i="11"/>
  <c r="O11" i="11"/>
  <c r="O10" i="11" s="1"/>
  <c r="O8" i="11" s="1"/>
  <c r="N11" i="11"/>
  <c r="K11" i="11"/>
  <c r="K10" i="11" s="1"/>
  <c r="K8" i="11" s="1"/>
  <c r="J11" i="11"/>
  <c r="J10" i="11" s="1"/>
  <c r="J8" i="11" s="1"/>
  <c r="G11" i="11"/>
  <c r="G10" i="11" s="1"/>
  <c r="F11" i="11"/>
  <c r="V10" i="11"/>
  <c r="V8" i="11" s="1"/>
  <c r="R10" i="11"/>
  <c r="R8" i="11" s="1"/>
  <c r="N10" i="11"/>
  <c r="F10" i="11"/>
  <c r="U9" i="11"/>
  <c r="S9" i="11"/>
  <c r="R9" i="11"/>
  <c r="P9" i="11"/>
  <c r="N9" i="11"/>
  <c r="N8" i="11" s="1"/>
  <c r="L9" i="11"/>
  <c r="G9" i="11"/>
  <c r="F9" i="11"/>
  <c r="F8" i="11" s="1"/>
  <c r="E9" i="11"/>
  <c r="U7" i="11"/>
  <c r="S7" i="11"/>
  <c r="P7" i="11"/>
  <c r="N7" i="11"/>
  <c r="G7" i="11"/>
  <c r="F7" i="11"/>
  <c r="E7" i="11"/>
  <c r="U6" i="11"/>
  <c r="U5" i="11" s="1"/>
  <c r="S6" i="11"/>
  <c r="S5" i="11" s="1"/>
  <c r="P6" i="11"/>
  <c r="N6" i="11"/>
  <c r="G6" i="11"/>
  <c r="F6" i="11"/>
  <c r="E6" i="11"/>
  <c r="W5" i="11"/>
  <c r="V5" i="11"/>
  <c r="T5" i="11"/>
  <c r="R5" i="11"/>
  <c r="Q5" i="11"/>
  <c r="O5" i="11"/>
  <c r="M5" i="11"/>
  <c r="L5" i="11"/>
  <c r="K5" i="11"/>
  <c r="J5" i="11"/>
  <c r="I5" i="11"/>
  <c r="H5" i="11"/>
  <c r="G5" i="11"/>
  <c r="P16" i="8"/>
  <c r="F16" i="7"/>
  <c r="G16" i="7"/>
  <c r="H16" i="7"/>
  <c r="I16" i="7"/>
  <c r="J16" i="7"/>
  <c r="K16" i="7"/>
  <c r="E16" i="7"/>
  <c r="F16" i="6"/>
  <c r="G16" i="6"/>
  <c r="H16" i="6"/>
  <c r="I16" i="6"/>
  <c r="E16" i="6"/>
  <c r="F16" i="1"/>
  <c r="G16" i="1"/>
  <c r="H16" i="1"/>
  <c r="I16" i="1"/>
  <c r="J16" i="1"/>
  <c r="K16" i="1"/>
  <c r="L16" i="1"/>
  <c r="M16" i="1"/>
  <c r="N16" i="1"/>
  <c r="O16" i="1"/>
  <c r="P16" i="1"/>
  <c r="R16" i="1"/>
  <c r="S16" i="1"/>
  <c r="T16" i="1"/>
  <c r="U16" i="1"/>
  <c r="V16" i="1"/>
  <c r="W16" i="1"/>
  <c r="X16" i="1"/>
  <c r="E16" i="1"/>
  <c r="F16" i="5"/>
  <c r="G16" i="5"/>
  <c r="H16" i="5"/>
  <c r="I16" i="5"/>
  <c r="J16" i="5"/>
  <c r="K16" i="5"/>
  <c r="L16" i="5"/>
  <c r="M16" i="5"/>
  <c r="N16" i="5"/>
  <c r="O16" i="5"/>
  <c r="P16" i="5"/>
  <c r="Q16" i="5"/>
  <c r="R16" i="5"/>
  <c r="S16" i="5"/>
  <c r="T16" i="5"/>
  <c r="U16" i="5"/>
  <c r="V16" i="5"/>
  <c r="E16" i="5"/>
  <c r="O16" i="4"/>
  <c r="P16" i="4"/>
  <c r="F16" i="4"/>
  <c r="G16" i="4"/>
  <c r="H16" i="4"/>
  <c r="I16" i="4"/>
  <c r="J16" i="4"/>
  <c r="K16" i="4"/>
  <c r="L16" i="4"/>
  <c r="M16" i="4"/>
  <c r="N16" i="4"/>
  <c r="E16" i="4"/>
  <c r="F16" i="3"/>
  <c r="G16" i="3"/>
  <c r="H16" i="3"/>
  <c r="I16" i="3"/>
  <c r="J16" i="3"/>
  <c r="K16" i="3"/>
  <c r="L16" i="3"/>
  <c r="E16" i="3"/>
  <c r="N16" i="2"/>
  <c r="F16" i="2"/>
  <c r="G16" i="2"/>
  <c r="H16" i="2"/>
  <c r="I16" i="2"/>
  <c r="J16" i="2"/>
  <c r="K16" i="2"/>
  <c r="L16" i="2"/>
  <c r="M16" i="2"/>
  <c r="E16" i="2"/>
  <c r="O106" i="2"/>
  <c r="O105" i="2"/>
  <c r="O104" i="2"/>
  <c r="O103" i="2"/>
  <c r="O102" i="2"/>
  <c r="O101" i="2"/>
  <c r="O100" i="2"/>
  <c r="O99" i="2"/>
  <c r="N98" i="2"/>
  <c r="M98" i="2"/>
  <c r="L98" i="2"/>
  <c r="K98" i="2"/>
  <c r="J98" i="2"/>
  <c r="I98" i="2"/>
  <c r="H98" i="2"/>
  <c r="G98" i="2"/>
  <c r="F98" i="2"/>
  <c r="E98" i="2"/>
  <c r="O97" i="2"/>
  <c r="O96" i="2"/>
  <c r="O95" i="2"/>
  <c r="O94" i="2"/>
  <c r="N93" i="2"/>
  <c r="N77" i="2" s="1"/>
  <c r="N76" i="2" s="1"/>
  <c r="M93" i="2"/>
  <c r="L93" i="2"/>
  <c r="L77" i="2" s="1"/>
  <c r="L76" i="2" s="1"/>
  <c r="K93" i="2"/>
  <c r="K11" i="2" s="1"/>
  <c r="K10" i="2" s="1"/>
  <c r="K8" i="2" s="1"/>
  <c r="J93" i="2"/>
  <c r="J77" i="2" s="1"/>
  <c r="J76" i="2" s="1"/>
  <c r="I93" i="2"/>
  <c r="H93" i="2"/>
  <c r="G93" i="2"/>
  <c r="G11" i="2" s="1"/>
  <c r="G10" i="2" s="1"/>
  <c r="G8" i="2" s="1"/>
  <c r="F93" i="2"/>
  <c r="F77" i="2" s="1"/>
  <c r="F76" i="2" s="1"/>
  <c r="E93" i="2"/>
  <c r="E69" i="2" s="1"/>
  <c r="E68" i="2" s="1"/>
  <c r="O92" i="2"/>
  <c r="O91" i="2"/>
  <c r="N90" i="2"/>
  <c r="M90" i="2"/>
  <c r="L90" i="2"/>
  <c r="K90" i="2"/>
  <c r="J90" i="2"/>
  <c r="I90" i="2"/>
  <c r="H90" i="2"/>
  <c r="G90" i="2"/>
  <c r="F90" i="2"/>
  <c r="E90" i="2"/>
  <c r="O89" i="2"/>
  <c r="N88" i="2"/>
  <c r="M88" i="2"/>
  <c r="L88" i="2"/>
  <c r="K88" i="2"/>
  <c r="J88" i="2"/>
  <c r="I88" i="2"/>
  <c r="H88" i="2"/>
  <c r="G88" i="2"/>
  <c r="F88" i="2"/>
  <c r="E88" i="2"/>
  <c r="N87" i="2"/>
  <c r="N86" i="2" s="1"/>
  <c r="M87" i="2"/>
  <c r="L87" i="2"/>
  <c r="K87" i="2"/>
  <c r="J87" i="2"/>
  <c r="I87" i="2"/>
  <c r="I86" i="2" s="1"/>
  <c r="H87" i="2"/>
  <c r="G87" i="2"/>
  <c r="F87" i="2"/>
  <c r="F86" i="2" s="1"/>
  <c r="E87" i="2"/>
  <c r="O85" i="2"/>
  <c r="O84" i="2"/>
  <c r="N83" i="2"/>
  <c r="M83" i="2"/>
  <c r="L83" i="2"/>
  <c r="K83" i="2"/>
  <c r="J83" i="2"/>
  <c r="I83" i="2"/>
  <c r="H83" i="2"/>
  <c r="G83" i="2"/>
  <c r="F83" i="2"/>
  <c r="E83" i="2"/>
  <c r="O81" i="2"/>
  <c r="N80" i="2"/>
  <c r="M80" i="2"/>
  <c r="L80" i="2"/>
  <c r="K80" i="2"/>
  <c r="J80" i="2"/>
  <c r="I80" i="2"/>
  <c r="H80" i="2"/>
  <c r="G80" i="2"/>
  <c r="F80" i="2"/>
  <c r="E80" i="2"/>
  <c r="N79" i="2"/>
  <c r="N78" i="2" s="1"/>
  <c r="M79" i="2"/>
  <c r="M78" i="2" s="1"/>
  <c r="L79" i="2"/>
  <c r="K79" i="2"/>
  <c r="J79" i="2"/>
  <c r="I79" i="2"/>
  <c r="I78" i="2" s="1"/>
  <c r="H79" i="2"/>
  <c r="G79" i="2"/>
  <c r="F79" i="2"/>
  <c r="F78" i="2" s="1"/>
  <c r="E79" i="2"/>
  <c r="E78" i="2" s="1"/>
  <c r="L78" i="2"/>
  <c r="K78" i="2"/>
  <c r="J78" i="2"/>
  <c r="H78" i="2"/>
  <c r="G78" i="2"/>
  <c r="M77" i="2"/>
  <c r="M76" i="2" s="1"/>
  <c r="K77" i="2"/>
  <c r="K76" i="2" s="1"/>
  <c r="I77" i="2"/>
  <c r="I76" i="2" s="1"/>
  <c r="H77" i="2"/>
  <c r="H76" i="2" s="1"/>
  <c r="E77" i="2"/>
  <c r="E76" i="2" s="1"/>
  <c r="O75" i="2"/>
  <c r="N74" i="2"/>
  <c r="M74" i="2"/>
  <c r="L74" i="2"/>
  <c r="K74" i="2"/>
  <c r="J74" i="2"/>
  <c r="I74" i="2"/>
  <c r="H74" i="2"/>
  <c r="G74" i="2"/>
  <c r="F74" i="2"/>
  <c r="E74" i="2"/>
  <c r="N73" i="2"/>
  <c r="N72" i="2" s="1"/>
  <c r="M73" i="2"/>
  <c r="M72" i="2" s="1"/>
  <c r="L73" i="2"/>
  <c r="L72" i="2" s="1"/>
  <c r="K73" i="2"/>
  <c r="J73" i="2"/>
  <c r="I73" i="2"/>
  <c r="I72" i="2" s="1"/>
  <c r="H73" i="2"/>
  <c r="H72" i="2" s="1"/>
  <c r="G73" i="2"/>
  <c r="G72" i="2" s="1"/>
  <c r="F73" i="2"/>
  <c r="E73" i="2"/>
  <c r="E72" i="2" s="1"/>
  <c r="K72" i="2"/>
  <c r="J72" i="2"/>
  <c r="F72" i="2"/>
  <c r="N71" i="2"/>
  <c r="N70" i="2" s="1"/>
  <c r="M71" i="2"/>
  <c r="M70" i="2" s="1"/>
  <c r="L71" i="2"/>
  <c r="L70" i="2" s="1"/>
  <c r="K71" i="2"/>
  <c r="K70" i="2" s="1"/>
  <c r="J71" i="2"/>
  <c r="J70" i="2" s="1"/>
  <c r="I71" i="2"/>
  <c r="I70" i="2" s="1"/>
  <c r="H71" i="2"/>
  <c r="H70" i="2" s="1"/>
  <c r="G71" i="2"/>
  <c r="G70" i="2" s="1"/>
  <c r="F71" i="2"/>
  <c r="F70" i="2" s="1"/>
  <c r="E71" i="2"/>
  <c r="E70" i="2"/>
  <c r="M69" i="2"/>
  <c r="M68" i="2" s="1"/>
  <c r="L69" i="2"/>
  <c r="L68" i="2" s="1"/>
  <c r="I69" i="2"/>
  <c r="I68" i="2" s="1"/>
  <c r="H69" i="2"/>
  <c r="H68" i="2" s="1"/>
  <c r="O67" i="2"/>
  <c r="O66" i="2"/>
  <c r="O65" i="2"/>
  <c r="O64" i="2"/>
  <c r="O63" i="2"/>
  <c r="O62" i="2"/>
  <c r="O61" i="2"/>
  <c r="O60" i="2"/>
  <c r="O59" i="2"/>
  <c r="O58" i="2"/>
  <c r="O57" i="2"/>
  <c r="O56" i="2"/>
  <c r="O55" i="2"/>
  <c r="O54" i="2"/>
  <c r="O53" i="2"/>
  <c r="O52" i="2"/>
  <c r="O51" i="2"/>
  <c r="O50" i="2"/>
  <c r="O48" i="2"/>
  <c r="O47" i="2"/>
  <c r="O46" i="2"/>
  <c r="O45" i="2"/>
  <c r="N44" i="2"/>
  <c r="M44" i="2"/>
  <c r="L44" i="2"/>
  <c r="K44" i="2"/>
  <c r="J44" i="2"/>
  <c r="I44" i="2"/>
  <c r="H44" i="2"/>
  <c r="G44" i="2"/>
  <c r="F44" i="2"/>
  <c r="E44" i="2"/>
  <c r="O43" i="2"/>
  <c r="N42" i="2"/>
  <c r="M42" i="2"/>
  <c r="L42" i="2"/>
  <c r="K42" i="2"/>
  <c r="J42" i="2"/>
  <c r="I42" i="2"/>
  <c r="H42" i="2"/>
  <c r="G42" i="2"/>
  <c r="F42" i="2"/>
  <c r="E42" i="2"/>
  <c r="O41" i="2"/>
  <c r="O40" i="2"/>
  <c r="N39" i="2"/>
  <c r="M39" i="2"/>
  <c r="L39" i="2"/>
  <c r="K39" i="2"/>
  <c r="J39" i="2"/>
  <c r="I39" i="2"/>
  <c r="H39" i="2"/>
  <c r="G39" i="2"/>
  <c r="F39" i="2"/>
  <c r="E39" i="2"/>
  <c r="O38" i="2"/>
  <c r="O37" i="2"/>
  <c r="O36" i="2"/>
  <c r="O35" i="2"/>
  <c r="O34" i="2"/>
  <c r="O33" i="2"/>
  <c r="O32" i="2"/>
  <c r="N31" i="2"/>
  <c r="M31" i="2"/>
  <c r="L31" i="2"/>
  <c r="L30" i="2" s="1"/>
  <c r="K31" i="2"/>
  <c r="J31" i="2"/>
  <c r="I31" i="2"/>
  <c r="H31" i="2"/>
  <c r="H30" i="2" s="1"/>
  <c r="G31" i="2"/>
  <c r="F31" i="2"/>
  <c r="E31" i="2"/>
  <c r="O29" i="2"/>
  <c r="O28" i="2"/>
  <c r="M27" i="2"/>
  <c r="L27" i="2"/>
  <c r="I27" i="2"/>
  <c r="H27" i="2"/>
  <c r="F27" i="2"/>
  <c r="E27" i="2"/>
  <c r="N26" i="2"/>
  <c r="N25" i="2" s="1"/>
  <c r="M26" i="2"/>
  <c r="M25" i="2" s="1"/>
  <c r="L26" i="2"/>
  <c r="L25" i="2" s="1"/>
  <c r="K26" i="2"/>
  <c r="J26" i="2"/>
  <c r="J25" i="2" s="1"/>
  <c r="I26" i="2"/>
  <c r="I25" i="2" s="1"/>
  <c r="H26" i="2"/>
  <c r="H25" i="2" s="1"/>
  <c r="G26" i="2"/>
  <c r="G25" i="2" s="1"/>
  <c r="F26" i="2"/>
  <c r="F25" i="2" s="1"/>
  <c r="E26" i="2"/>
  <c r="K25" i="2"/>
  <c r="E25" i="2"/>
  <c r="N24" i="2"/>
  <c r="N23" i="2" s="1"/>
  <c r="M24" i="2"/>
  <c r="M23" i="2" s="1"/>
  <c r="L24" i="2"/>
  <c r="L23" i="2" s="1"/>
  <c r="K24" i="2"/>
  <c r="J24" i="2"/>
  <c r="I24" i="2"/>
  <c r="I23" i="2" s="1"/>
  <c r="H24" i="2"/>
  <c r="H23" i="2" s="1"/>
  <c r="G24" i="2"/>
  <c r="G23" i="2" s="1"/>
  <c r="F24" i="2"/>
  <c r="F23" i="2" s="1"/>
  <c r="E24" i="2"/>
  <c r="E23" i="2" s="1"/>
  <c r="K23" i="2"/>
  <c r="J23" i="2"/>
  <c r="N22" i="2"/>
  <c r="M22" i="2"/>
  <c r="L22" i="2"/>
  <c r="K22" i="2"/>
  <c r="K20" i="2" s="1"/>
  <c r="J22" i="2"/>
  <c r="I22" i="2"/>
  <c r="H22" i="2"/>
  <c r="G22" i="2"/>
  <c r="G20" i="2" s="1"/>
  <c r="F22" i="2"/>
  <c r="E22" i="2"/>
  <c r="N21" i="2"/>
  <c r="M21" i="2"/>
  <c r="L21" i="2"/>
  <c r="K21" i="2"/>
  <c r="J21" i="2"/>
  <c r="I21" i="2"/>
  <c r="H21" i="2"/>
  <c r="G21" i="2"/>
  <c r="F21" i="2"/>
  <c r="E21" i="2"/>
  <c r="N19" i="2"/>
  <c r="N18" i="2" s="1"/>
  <c r="M19" i="2"/>
  <c r="M18" i="2" s="1"/>
  <c r="L19" i="2"/>
  <c r="L18" i="2" s="1"/>
  <c r="K19" i="2"/>
  <c r="K18" i="2" s="1"/>
  <c r="J19" i="2"/>
  <c r="J18" i="2" s="1"/>
  <c r="I19" i="2"/>
  <c r="H19" i="2"/>
  <c r="G19" i="2"/>
  <c r="G18" i="2" s="1"/>
  <c r="F19" i="2"/>
  <c r="F18" i="2" s="1"/>
  <c r="E19" i="2"/>
  <c r="I18" i="2"/>
  <c r="H18" i="2"/>
  <c r="E18" i="2"/>
  <c r="O17" i="2"/>
  <c r="O15" i="2"/>
  <c r="N14" i="2"/>
  <c r="M14" i="2"/>
  <c r="L14" i="2"/>
  <c r="K14" i="2"/>
  <c r="J14" i="2"/>
  <c r="I14" i="2"/>
  <c r="H14" i="2"/>
  <c r="G14" i="2"/>
  <c r="F14" i="2"/>
  <c r="E14" i="2"/>
  <c r="N13" i="2"/>
  <c r="M13" i="2"/>
  <c r="L13" i="2"/>
  <c r="K13" i="2"/>
  <c r="J13" i="2"/>
  <c r="I13" i="2"/>
  <c r="H13" i="2"/>
  <c r="G13" i="2"/>
  <c r="F13" i="2"/>
  <c r="E13" i="2"/>
  <c r="M11" i="2"/>
  <c r="M10" i="2" s="1"/>
  <c r="M8" i="2" s="1"/>
  <c r="L11" i="2"/>
  <c r="J11" i="2"/>
  <c r="J10" i="2" s="1"/>
  <c r="J8" i="2" s="1"/>
  <c r="I11" i="2"/>
  <c r="I10" i="2" s="1"/>
  <c r="I8" i="2" s="1"/>
  <c r="H11" i="2"/>
  <c r="H10" i="2" s="1"/>
  <c r="H8" i="2" s="1"/>
  <c r="E11" i="2"/>
  <c r="E10" i="2" s="1"/>
  <c r="E8" i="2" s="1"/>
  <c r="L10" i="2"/>
  <c r="L8" i="2" s="1"/>
  <c r="O9" i="2"/>
  <c r="O7" i="2"/>
  <c r="O6" i="2"/>
  <c r="N5" i="2"/>
  <c r="M5" i="2"/>
  <c r="L5" i="2"/>
  <c r="K5" i="2"/>
  <c r="J5" i="2"/>
  <c r="I5" i="2"/>
  <c r="H5" i="2"/>
  <c r="G5" i="2"/>
  <c r="F5" i="2"/>
  <c r="E5" i="2"/>
  <c r="N93" i="5"/>
  <c r="E125" i="10"/>
  <c r="E109" i="10"/>
  <c r="E101" i="10"/>
  <c r="E95" i="10"/>
  <c r="E74" i="10"/>
  <c r="E54" i="10"/>
  <c r="E35" i="10"/>
  <c r="E22" i="10"/>
  <c r="E13" i="10"/>
  <c r="G12" i="2" l="1"/>
  <c r="K12" i="2"/>
  <c r="N27" i="2"/>
  <c r="F30" i="2"/>
  <c r="J30" i="2"/>
  <c r="N30" i="2"/>
  <c r="F69" i="2"/>
  <c r="F68" i="2" s="1"/>
  <c r="E86" i="2"/>
  <c r="M86" i="2"/>
  <c r="R12" i="11"/>
  <c r="E30" i="11"/>
  <c r="I30" i="11"/>
  <c r="M30" i="11"/>
  <c r="Q30" i="11"/>
  <c r="U30" i="11"/>
  <c r="N11" i="2"/>
  <c r="N10" i="2" s="1"/>
  <c r="N8" i="2" s="1"/>
  <c r="J27" i="2"/>
  <c r="G30" i="2"/>
  <c r="K30" i="2"/>
  <c r="K12" i="11"/>
  <c r="O12" i="11"/>
  <c r="T12" i="11"/>
  <c r="H27" i="11"/>
  <c r="L27" i="11"/>
  <c r="P27" i="11"/>
  <c r="T27" i="11"/>
  <c r="J30" i="11"/>
  <c r="N30" i="11"/>
  <c r="X45" i="11"/>
  <c r="O82" i="11"/>
  <c r="K82" i="11"/>
  <c r="S82" i="11"/>
  <c r="F11" i="2"/>
  <c r="F10" i="2" s="1"/>
  <c r="F8" i="2" s="1"/>
  <c r="F12" i="2"/>
  <c r="J12" i="2"/>
  <c r="N12" i="2"/>
  <c r="L20" i="2"/>
  <c r="E30" i="2"/>
  <c r="I30" i="2"/>
  <c r="M30" i="2"/>
  <c r="J69" i="2"/>
  <c r="J68" i="2" s="1"/>
  <c r="I82" i="2"/>
  <c r="F5" i="11"/>
  <c r="U19" i="11"/>
  <c r="U18" i="11" s="1"/>
  <c r="F24" i="11"/>
  <c r="F23" i="11" s="1"/>
  <c r="H30" i="11"/>
  <c r="L30" i="11"/>
  <c r="P30" i="11"/>
  <c r="T30" i="11"/>
  <c r="L69" i="11"/>
  <c r="L68" i="11" s="1"/>
  <c r="P69" i="11"/>
  <c r="P68" i="11" s="1"/>
  <c r="T69" i="11"/>
  <c r="T68" i="11" s="1"/>
  <c r="E12" i="2"/>
  <c r="M12" i="2"/>
  <c r="H12" i="2"/>
  <c r="L12" i="2"/>
  <c r="G27" i="2"/>
  <c r="K27" i="2"/>
  <c r="K4" i="2" s="1"/>
  <c r="O39" i="2"/>
  <c r="O42" i="2"/>
  <c r="G77" i="2"/>
  <c r="G76" i="2" s="1"/>
  <c r="G86" i="2"/>
  <c r="K86" i="2"/>
  <c r="F82" i="2"/>
  <c r="N82" i="2"/>
  <c r="I12" i="2"/>
  <c r="E82" i="2"/>
  <c r="M82" i="2"/>
  <c r="J86" i="2"/>
  <c r="J82" i="2" s="1"/>
  <c r="O98" i="2"/>
  <c r="O4" i="11"/>
  <c r="O107" i="11" s="1"/>
  <c r="G8" i="11"/>
  <c r="I12" i="11"/>
  <c r="M12" i="11"/>
  <c r="Q12" i="11"/>
  <c r="V4" i="11"/>
  <c r="X17" i="11"/>
  <c r="N26" i="11"/>
  <c r="N25" i="11" s="1"/>
  <c r="R26" i="11"/>
  <c r="R25" i="11" s="1"/>
  <c r="X73" i="11"/>
  <c r="X87" i="11"/>
  <c r="I86" i="11"/>
  <c r="I82" i="11" s="1"/>
  <c r="I49" i="11" s="1"/>
  <c r="M86" i="11"/>
  <c r="Q86" i="11"/>
  <c r="U86" i="11"/>
  <c r="F86" i="11"/>
  <c r="F82" i="11" s="1"/>
  <c r="J86" i="11"/>
  <c r="J82" i="11" s="1"/>
  <c r="N86" i="11"/>
  <c r="N82" i="11" s="1"/>
  <c r="R86" i="11"/>
  <c r="R82" i="11" s="1"/>
  <c r="V86" i="11"/>
  <c r="V82" i="11" s="1"/>
  <c r="V49" i="11" s="1"/>
  <c r="H20" i="11"/>
  <c r="L20" i="11"/>
  <c r="P20" i="11"/>
  <c r="T20" i="11"/>
  <c r="O49" i="11"/>
  <c r="O3" i="11" s="1"/>
  <c r="X6" i="11"/>
  <c r="X7" i="11"/>
  <c r="P5" i="11"/>
  <c r="X83" i="11"/>
  <c r="M82" i="11"/>
  <c r="M49" i="11" s="1"/>
  <c r="Q82" i="11"/>
  <c r="Q49" i="11" s="1"/>
  <c r="U82" i="11"/>
  <c r="U49" i="11" s="1"/>
  <c r="J49" i="11"/>
  <c r="H82" i="11"/>
  <c r="L82" i="11"/>
  <c r="L49" i="11" s="1"/>
  <c r="P82" i="11"/>
  <c r="T82" i="11"/>
  <c r="T49" i="11" s="1"/>
  <c r="F49" i="2"/>
  <c r="J49" i="2"/>
  <c r="L4" i="2"/>
  <c r="M20" i="2"/>
  <c r="H20" i="2"/>
  <c r="J20" i="2"/>
  <c r="J4" i="2" s="1"/>
  <c r="N69" i="2"/>
  <c r="N68" i="2" s="1"/>
  <c r="N49" i="2" s="1"/>
  <c r="O74" i="2"/>
  <c r="O80" i="2"/>
  <c r="H86" i="2"/>
  <c r="H82" i="2" s="1"/>
  <c r="L86" i="2"/>
  <c r="L82" i="2" s="1"/>
  <c r="L49" i="2" s="1"/>
  <c r="O90" i="2"/>
  <c r="M49" i="2"/>
  <c r="O76" i="2"/>
  <c r="O72" i="2"/>
  <c r="I20" i="2"/>
  <c r="O44" i="2"/>
  <c r="O88" i="2"/>
  <c r="E76" i="11"/>
  <c r="W4" i="11"/>
  <c r="W107" i="11" s="1"/>
  <c r="K4" i="11"/>
  <c r="J4" i="11"/>
  <c r="R4" i="11"/>
  <c r="R107" i="11" s="1"/>
  <c r="P49" i="11"/>
  <c r="V107" i="11"/>
  <c r="K49" i="11"/>
  <c r="G49" i="11"/>
  <c r="X42" i="11"/>
  <c r="G22" i="11"/>
  <c r="G20" i="11" s="1"/>
  <c r="U24" i="11"/>
  <c r="U23" i="11" s="1"/>
  <c r="S49" i="11"/>
  <c r="X39" i="11"/>
  <c r="X43" i="11"/>
  <c r="G44" i="11"/>
  <c r="X70" i="11"/>
  <c r="X80" i="11"/>
  <c r="X16" i="11"/>
  <c r="E5" i="11"/>
  <c r="X9" i="11"/>
  <c r="E11" i="11"/>
  <c r="I11" i="11"/>
  <c r="I10" i="11" s="1"/>
  <c r="I8" i="11" s="1"/>
  <c r="I4" i="11" s="1"/>
  <c r="M11" i="11"/>
  <c r="M10" i="11" s="1"/>
  <c r="M8" i="11" s="1"/>
  <c r="Q11" i="11"/>
  <c r="Q10" i="11" s="1"/>
  <c r="Q8" i="11" s="1"/>
  <c r="Q4" i="11" s="1"/>
  <c r="U11" i="11"/>
  <c r="U10" i="11" s="1"/>
  <c r="U8" i="11" s="1"/>
  <c r="G13" i="11"/>
  <c r="S13" i="11"/>
  <c r="G19" i="11"/>
  <c r="G18" i="11" s="1"/>
  <c r="S19" i="11"/>
  <c r="S18" i="11" s="1"/>
  <c r="U21" i="11"/>
  <c r="F22" i="11"/>
  <c r="F20" i="11" s="1"/>
  <c r="R49" i="11"/>
  <c r="X71" i="11"/>
  <c r="X98" i="11"/>
  <c r="N5" i="11"/>
  <c r="N4" i="11" s="1"/>
  <c r="N107" i="11" s="1"/>
  <c r="U14" i="11"/>
  <c r="U12" i="11" s="1"/>
  <c r="G26" i="11"/>
  <c r="G25" i="11" s="1"/>
  <c r="X28" i="11"/>
  <c r="X74" i="11"/>
  <c r="W49" i="11"/>
  <c r="X88" i="11"/>
  <c r="X90" i="11"/>
  <c r="X93" i="11"/>
  <c r="H11" i="11"/>
  <c r="H10" i="11" s="1"/>
  <c r="H8" i="11" s="1"/>
  <c r="H4" i="11" s="1"/>
  <c r="L11" i="11"/>
  <c r="L10" i="11" s="1"/>
  <c r="L8" i="11" s="1"/>
  <c r="L4" i="11" s="1"/>
  <c r="P11" i="11"/>
  <c r="P10" i="11" s="1"/>
  <c r="P8" i="11" s="1"/>
  <c r="T11" i="11"/>
  <c r="T10" i="11" s="1"/>
  <c r="T8" i="11" s="1"/>
  <c r="T4" i="11" s="1"/>
  <c r="F13" i="11"/>
  <c r="F12" i="11" s="1"/>
  <c r="G14" i="11"/>
  <c r="S14" i="11"/>
  <c r="E18" i="11"/>
  <c r="F19" i="11"/>
  <c r="F18" i="11" s="1"/>
  <c r="U22" i="11"/>
  <c r="G24" i="11"/>
  <c r="G23" i="11" s="1"/>
  <c r="S24" i="11"/>
  <c r="S23" i="11" s="1"/>
  <c r="U26" i="11"/>
  <c r="U25" i="11" s="1"/>
  <c r="N49" i="11"/>
  <c r="X31" i="11"/>
  <c r="X44" i="11"/>
  <c r="E68" i="11"/>
  <c r="E72" i="11"/>
  <c r="X72" i="11" s="1"/>
  <c r="H77" i="11"/>
  <c r="H76" i="11" s="1"/>
  <c r="H49" i="11" s="1"/>
  <c r="E86" i="11"/>
  <c r="X79" i="11"/>
  <c r="F79" i="11"/>
  <c r="F78" i="11" s="1"/>
  <c r="F49" i="11" s="1"/>
  <c r="O5" i="2"/>
  <c r="O24" i="2"/>
  <c r="N20" i="2"/>
  <c r="O14" i="2"/>
  <c r="O22" i="2"/>
  <c r="O23" i="2"/>
  <c r="O25" i="2"/>
  <c r="H4" i="2"/>
  <c r="H107" i="2" s="1"/>
  <c r="O13" i="2"/>
  <c r="H49" i="2"/>
  <c r="O78" i="2"/>
  <c r="O26" i="2"/>
  <c r="E20" i="2"/>
  <c r="F20" i="2"/>
  <c r="F4" i="2" s="1"/>
  <c r="O16" i="2"/>
  <c r="G4" i="2"/>
  <c r="G107" i="2" s="1"/>
  <c r="I49" i="2"/>
  <c r="K82" i="2"/>
  <c r="O8" i="2"/>
  <c r="E49" i="2"/>
  <c r="O11" i="2"/>
  <c r="O10" i="2" s="1"/>
  <c r="I4" i="2"/>
  <c r="I107" i="2" s="1"/>
  <c r="O18" i="2"/>
  <c r="O70" i="2"/>
  <c r="O71" i="2"/>
  <c r="O77" i="2"/>
  <c r="O83" i="2"/>
  <c r="O87" i="2"/>
  <c r="O93" i="2"/>
  <c r="O21" i="2"/>
  <c r="G69" i="2"/>
  <c r="G68" i="2" s="1"/>
  <c r="K69" i="2"/>
  <c r="K68" i="2" s="1"/>
  <c r="O68" i="2" s="1"/>
  <c r="O73" i="2"/>
  <c r="O79" i="2"/>
  <c r="O19" i="2"/>
  <c r="O31" i="2"/>
  <c r="E126" i="10"/>
  <c r="O86" i="2" l="1"/>
  <c r="M4" i="2"/>
  <c r="M107" i="2" s="1"/>
  <c r="X69" i="11"/>
  <c r="X30" i="11"/>
  <c r="G12" i="11"/>
  <c r="V3" i="11"/>
  <c r="G30" i="11"/>
  <c r="O69" i="2"/>
  <c r="G82" i="2"/>
  <c r="G49" i="2" s="1"/>
  <c r="S12" i="11"/>
  <c r="X12" i="11" s="1"/>
  <c r="X25" i="11"/>
  <c r="U20" i="11"/>
  <c r="X20" i="11" s="1"/>
  <c r="X76" i="11"/>
  <c r="X86" i="11"/>
  <c r="X26" i="11"/>
  <c r="X22" i="11"/>
  <c r="X14" i="11"/>
  <c r="P4" i="11"/>
  <c r="P107" i="11" s="1"/>
  <c r="M4" i="11"/>
  <c r="M107" i="11" s="1"/>
  <c r="X23" i="11"/>
  <c r="X19" i="11"/>
  <c r="J3" i="2"/>
  <c r="J107" i="2"/>
  <c r="L3" i="2"/>
  <c r="L107" i="2"/>
  <c r="O27" i="2"/>
  <c r="K49" i="2"/>
  <c r="K3" i="2" s="1"/>
  <c r="O30" i="2"/>
  <c r="O82" i="2"/>
  <c r="K107" i="2"/>
  <c r="W3" i="11"/>
  <c r="U4" i="11"/>
  <c r="U107" i="11" s="1"/>
  <c r="T107" i="11"/>
  <c r="T3" i="11"/>
  <c r="H107" i="11"/>
  <c r="H3" i="11"/>
  <c r="X11" i="11"/>
  <c r="X10" i="11" s="1"/>
  <c r="E10" i="11"/>
  <c r="E8" i="11" s="1"/>
  <c r="X8" i="11" s="1"/>
  <c r="L107" i="11"/>
  <c r="L3" i="11"/>
  <c r="I3" i="11"/>
  <c r="I107" i="11"/>
  <c r="J107" i="11"/>
  <c r="J3" i="11"/>
  <c r="E82" i="11"/>
  <c r="X82" i="11" s="1"/>
  <c r="N3" i="11"/>
  <c r="X18" i="11"/>
  <c r="X13" i="11"/>
  <c r="F4" i="11"/>
  <c r="F107" i="11" s="1"/>
  <c r="R3" i="11"/>
  <c r="X21" i="11"/>
  <c r="G4" i="11"/>
  <c r="G107" i="11" s="1"/>
  <c r="X24" i="11"/>
  <c r="X77" i="11"/>
  <c r="X5" i="11"/>
  <c r="X68" i="11"/>
  <c r="Q3" i="11"/>
  <c r="Q107" i="11"/>
  <c r="K3" i="11"/>
  <c r="K107" i="11"/>
  <c r="X27" i="11"/>
  <c r="X78" i="11"/>
  <c r="N4" i="2"/>
  <c r="N107" i="2" s="1"/>
  <c r="H3" i="2"/>
  <c r="F3" i="2"/>
  <c r="F107" i="2"/>
  <c r="O20" i="2"/>
  <c r="E4" i="2"/>
  <c r="E107" i="2" s="1"/>
  <c r="O12" i="2"/>
  <c r="I3" i="2"/>
  <c r="M3" i="2" l="1"/>
  <c r="E4" i="11"/>
  <c r="P3" i="11"/>
  <c r="U3" i="11"/>
  <c r="M3" i="11"/>
  <c r="G3" i="2"/>
  <c r="O49" i="2"/>
  <c r="E49" i="11"/>
  <c r="X49" i="11" s="1"/>
  <c r="S4" i="11"/>
  <c r="E107" i="11"/>
  <c r="G3" i="11"/>
  <c r="F3" i="11"/>
  <c r="N3" i="2"/>
  <c r="E3" i="2"/>
  <c r="O4" i="2"/>
  <c r="E3" i="11" l="1"/>
  <c r="O107" i="2"/>
  <c r="S107" i="11"/>
  <c r="S3" i="11"/>
  <c r="X3" i="11" s="1"/>
  <c r="X4" i="11"/>
  <c r="O3" i="2"/>
  <c r="K106" i="8"/>
  <c r="K73" i="8" s="1"/>
  <c r="K72" i="8" s="1"/>
  <c r="S105" i="8"/>
  <c r="S71" i="8" s="1"/>
  <c r="S70" i="8" s="1"/>
  <c r="K105" i="8"/>
  <c r="T104" i="8"/>
  <c r="T103" i="8"/>
  <c r="T102" i="8"/>
  <c r="S101" i="8"/>
  <c r="S98" i="8" s="1"/>
  <c r="Q101" i="8"/>
  <c r="N101" i="8"/>
  <c r="M101" i="8"/>
  <c r="M98" i="8" s="1"/>
  <c r="L101" i="8"/>
  <c r="L98" i="8" s="1"/>
  <c r="K101" i="8"/>
  <c r="O100" i="8"/>
  <c r="J100" i="8"/>
  <c r="J98" i="8" s="1"/>
  <c r="I100" i="8"/>
  <c r="R99" i="8"/>
  <c r="R98" i="8" s="1"/>
  <c r="O99" i="8"/>
  <c r="Q98" i="8"/>
  <c r="P98" i="8"/>
  <c r="N98" i="8"/>
  <c r="K98" i="8"/>
  <c r="H98" i="8"/>
  <c r="G98" i="8"/>
  <c r="F98" i="8"/>
  <c r="E98" i="8"/>
  <c r="T97" i="8"/>
  <c r="T96" i="8"/>
  <c r="T95" i="8"/>
  <c r="T94" i="8"/>
  <c r="S93" i="8"/>
  <c r="R93" i="8"/>
  <c r="Q93" i="8"/>
  <c r="Q77" i="8" s="1"/>
  <c r="Q76" i="8" s="1"/>
  <c r="P93" i="8"/>
  <c r="P77" i="8" s="1"/>
  <c r="P76" i="8" s="1"/>
  <c r="O93" i="8"/>
  <c r="O77" i="8" s="1"/>
  <c r="O76" i="8" s="1"/>
  <c r="N93" i="8"/>
  <c r="M93" i="8"/>
  <c r="M77" i="8" s="1"/>
  <c r="M76" i="8" s="1"/>
  <c r="L93" i="8"/>
  <c r="L69" i="8" s="1"/>
  <c r="L68" i="8" s="1"/>
  <c r="K93" i="8"/>
  <c r="J93" i="8"/>
  <c r="I93" i="8"/>
  <c r="I77" i="8" s="1"/>
  <c r="I76" i="8" s="1"/>
  <c r="H93" i="8"/>
  <c r="H11" i="8" s="1"/>
  <c r="H10" i="8" s="1"/>
  <c r="G93" i="8"/>
  <c r="F93" i="8"/>
  <c r="E93" i="8"/>
  <c r="E77" i="8" s="1"/>
  <c r="T92" i="8"/>
  <c r="T91" i="8"/>
  <c r="S90" i="8"/>
  <c r="R90" i="8"/>
  <c r="Q90" i="8"/>
  <c r="P90" i="8"/>
  <c r="O90" i="8"/>
  <c r="N90" i="8"/>
  <c r="M90" i="8"/>
  <c r="L90" i="8"/>
  <c r="K90" i="8"/>
  <c r="J90" i="8"/>
  <c r="I90" i="8"/>
  <c r="H90" i="8"/>
  <c r="G90" i="8"/>
  <c r="F90" i="8"/>
  <c r="E90" i="8"/>
  <c r="T89" i="8"/>
  <c r="S88" i="8"/>
  <c r="R88" i="8"/>
  <c r="Q88" i="8"/>
  <c r="P88" i="8"/>
  <c r="O88" i="8"/>
  <c r="N88" i="8"/>
  <c r="M88" i="8"/>
  <c r="L88" i="8"/>
  <c r="K88" i="8"/>
  <c r="J88" i="8"/>
  <c r="I88" i="8"/>
  <c r="H88" i="8"/>
  <c r="G88" i="8"/>
  <c r="F88" i="8"/>
  <c r="E88" i="8"/>
  <c r="S87" i="8"/>
  <c r="S86" i="8" s="1"/>
  <c r="R87" i="8"/>
  <c r="Q87" i="8"/>
  <c r="P87" i="8"/>
  <c r="O87" i="8"/>
  <c r="O86" i="8" s="1"/>
  <c r="N87" i="8"/>
  <c r="M87" i="8"/>
  <c r="L87" i="8"/>
  <c r="L86" i="8" s="1"/>
  <c r="L82" i="8" s="1"/>
  <c r="K87" i="8"/>
  <c r="K86" i="8" s="1"/>
  <c r="J87" i="8"/>
  <c r="I87" i="8"/>
  <c r="H87" i="8"/>
  <c r="H86" i="8" s="1"/>
  <c r="H82" i="8" s="1"/>
  <c r="G87" i="8"/>
  <c r="G86" i="8" s="1"/>
  <c r="F87" i="8"/>
  <c r="E87" i="8"/>
  <c r="P86" i="8"/>
  <c r="T85" i="8"/>
  <c r="T84" i="8"/>
  <c r="S83" i="8"/>
  <c r="R83" i="8"/>
  <c r="Q83" i="8"/>
  <c r="P83" i="8"/>
  <c r="O83" i="8"/>
  <c r="N83" i="8"/>
  <c r="M83" i="8"/>
  <c r="L83" i="8"/>
  <c r="K83" i="8"/>
  <c r="J83" i="8"/>
  <c r="I83" i="8"/>
  <c r="H83" i="8"/>
  <c r="G83" i="8"/>
  <c r="F83" i="8"/>
  <c r="E83" i="8"/>
  <c r="T81" i="8"/>
  <c r="S80" i="8"/>
  <c r="R80" i="8"/>
  <c r="Q80" i="8"/>
  <c r="P80" i="8"/>
  <c r="O80" i="8"/>
  <c r="N80" i="8"/>
  <c r="M80" i="8"/>
  <c r="L80" i="8"/>
  <c r="K80" i="8"/>
  <c r="J80" i="8"/>
  <c r="I80" i="8"/>
  <c r="H80" i="8"/>
  <c r="G80" i="8"/>
  <c r="F80" i="8"/>
  <c r="E80" i="8"/>
  <c r="S77" i="8"/>
  <c r="S76" i="8" s="1"/>
  <c r="R77" i="8"/>
  <c r="R76" i="8" s="1"/>
  <c r="N77" i="8"/>
  <c r="N76" i="8" s="1"/>
  <c r="K77" i="8"/>
  <c r="K76" i="8" s="1"/>
  <c r="J77" i="8"/>
  <c r="J76" i="8" s="1"/>
  <c r="H77" i="8"/>
  <c r="H76" i="8" s="1"/>
  <c r="G77" i="8"/>
  <c r="G76" i="8" s="1"/>
  <c r="F77" i="8"/>
  <c r="F76" i="8" s="1"/>
  <c r="T75" i="8"/>
  <c r="S74" i="8"/>
  <c r="R74" i="8"/>
  <c r="Q74" i="8"/>
  <c r="P74" i="8"/>
  <c r="O74" i="8"/>
  <c r="N74" i="8"/>
  <c r="M74" i="8"/>
  <c r="L74" i="8"/>
  <c r="K74" i="8"/>
  <c r="J74" i="8"/>
  <c r="I74" i="8"/>
  <c r="H74" i="8"/>
  <c r="G74" i="8"/>
  <c r="F74" i="8"/>
  <c r="E74" i="8"/>
  <c r="S73" i="8"/>
  <c r="S72" i="8" s="1"/>
  <c r="R73" i="8"/>
  <c r="R72" i="8" s="1"/>
  <c r="Q73" i="8"/>
  <c r="Q72" i="8" s="1"/>
  <c r="P73" i="8"/>
  <c r="P72" i="8" s="1"/>
  <c r="O73" i="8"/>
  <c r="O72" i="8" s="1"/>
  <c r="N73" i="8"/>
  <c r="N72" i="8" s="1"/>
  <c r="M73" i="8"/>
  <c r="M72" i="8" s="1"/>
  <c r="L73" i="8"/>
  <c r="L72" i="8" s="1"/>
  <c r="J73" i="8"/>
  <c r="J72" i="8" s="1"/>
  <c r="I73" i="8"/>
  <c r="I72" i="8" s="1"/>
  <c r="H73" i="8"/>
  <c r="G73" i="8"/>
  <c r="F73" i="8"/>
  <c r="F72" i="8" s="1"/>
  <c r="E73" i="8"/>
  <c r="E72" i="8" s="1"/>
  <c r="G72" i="8"/>
  <c r="R71" i="8"/>
  <c r="R70" i="8" s="1"/>
  <c r="Q71" i="8"/>
  <c r="Q70" i="8" s="1"/>
  <c r="P71" i="8"/>
  <c r="P70" i="8" s="1"/>
  <c r="O71" i="8"/>
  <c r="O70" i="8" s="1"/>
  <c r="N71" i="8"/>
  <c r="N70" i="8" s="1"/>
  <c r="M71" i="8"/>
  <c r="L71" i="8"/>
  <c r="L70" i="8" s="1"/>
  <c r="K71" i="8"/>
  <c r="J71" i="8"/>
  <c r="J70" i="8" s="1"/>
  <c r="I71" i="8"/>
  <c r="I70" i="8" s="1"/>
  <c r="H71" i="8"/>
  <c r="H70" i="8" s="1"/>
  <c r="G71" i="8"/>
  <c r="G70" i="8" s="1"/>
  <c r="F71" i="8"/>
  <c r="F70" i="8" s="1"/>
  <c r="E71" i="8"/>
  <c r="E70" i="8" s="1"/>
  <c r="M70" i="8"/>
  <c r="K70" i="8"/>
  <c r="S69" i="8"/>
  <c r="R69" i="8"/>
  <c r="R68" i="8" s="1"/>
  <c r="O69" i="8"/>
  <c r="O68" i="8" s="1"/>
  <c r="N69" i="8"/>
  <c r="N68" i="8" s="1"/>
  <c r="K69" i="8"/>
  <c r="J69" i="8"/>
  <c r="J68" i="8" s="1"/>
  <c r="G69" i="8"/>
  <c r="G68" i="8" s="1"/>
  <c r="F69" i="8"/>
  <c r="S68" i="8"/>
  <c r="K68" i="8"/>
  <c r="F68" i="8"/>
  <c r="S67" i="8"/>
  <c r="R67" i="8"/>
  <c r="Q67" i="8"/>
  <c r="P67" i="8"/>
  <c r="O67" i="8"/>
  <c r="N67" i="8"/>
  <c r="M67" i="8"/>
  <c r="L67" i="8"/>
  <c r="K67" i="8"/>
  <c r="J67" i="8"/>
  <c r="I67" i="8"/>
  <c r="H67" i="8"/>
  <c r="G67" i="8"/>
  <c r="F67" i="8"/>
  <c r="E67" i="8"/>
  <c r="T66" i="8"/>
  <c r="T65" i="8"/>
  <c r="T64" i="8"/>
  <c r="T63" i="8"/>
  <c r="T62" i="8"/>
  <c r="T61" i="8"/>
  <c r="T60" i="8"/>
  <c r="T59" i="8"/>
  <c r="T58" i="8"/>
  <c r="T57" i="8"/>
  <c r="T56" i="8"/>
  <c r="T55" i="8"/>
  <c r="T54" i="8"/>
  <c r="T53" i="8"/>
  <c r="T52" i="8"/>
  <c r="T51" i="8"/>
  <c r="T50" i="8"/>
  <c r="T48" i="8"/>
  <c r="T47" i="8"/>
  <c r="T46" i="8"/>
  <c r="T45" i="8"/>
  <c r="S44" i="8"/>
  <c r="R44" i="8"/>
  <c r="Q44" i="8"/>
  <c r="P44" i="8"/>
  <c r="O44" i="8"/>
  <c r="N44" i="8"/>
  <c r="M44" i="8"/>
  <c r="L44" i="8"/>
  <c r="K44" i="8"/>
  <c r="J44" i="8"/>
  <c r="I44" i="8"/>
  <c r="H44" i="8"/>
  <c r="G44" i="8"/>
  <c r="F44" i="8"/>
  <c r="E44" i="8"/>
  <c r="S43" i="8"/>
  <c r="S42" i="8" s="1"/>
  <c r="R43" i="8"/>
  <c r="Q43" i="8"/>
  <c r="Q42" i="8" s="1"/>
  <c r="O43" i="8"/>
  <c r="O42" i="8" s="1"/>
  <c r="N43" i="8"/>
  <c r="N42" i="8" s="1"/>
  <c r="M43" i="8"/>
  <c r="M42" i="8" s="1"/>
  <c r="L43" i="8"/>
  <c r="L42" i="8" s="1"/>
  <c r="K43" i="8"/>
  <c r="K42" i="8" s="1"/>
  <c r="J43" i="8"/>
  <c r="I43" i="8"/>
  <c r="H43" i="8"/>
  <c r="H42" i="8" s="1"/>
  <c r="G43" i="8"/>
  <c r="G42" i="8" s="1"/>
  <c r="F43" i="8"/>
  <c r="F42" i="8" s="1"/>
  <c r="E43" i="8"/>
  <c r="E42" i="8" s="1"/>
  <c r="R42" i="8"/>
  <c r="P42" i="8"/>
  <c r="J42" i="8"/>
  <c r="I42" i="8"/>
  <c r="T41" i="8"/>
  <c r="T40" i="8"/>
  <c r="S39" i="8"/>
  <c r="R39" i="8"/>
  <c r="Q39" i="8"/>
  <c r="P39" i="8"/>
  <c r="O39" i="8"/>
  <c r="N39" i="8"/>
  <c r="M39" i="8"/>
  <c r="L39" i="8"/>
  <c r="K39" i="8"/>
  <c r="J39" i="8"/>
  <c r="I39" i="8"/>
  <c r="H39" i="8"/>
  <c r="G39" i="8"/>
  <c r="F39" i="8"/>
  <c r="E39" i="8"/>
  <c r="T38" i="8"/>
  <c r="T37" i="8"/>
  <c r="T36" i="8"/>
  <c r="T35" i="8"/>
  <c r="T34" i="8"/>
  <c r="T33" i="8"/>
  <c r="T32" i="8"/>
  <c r="S31" i="8"/>
  <c r="R31" i="8"/>
  <c r="R30" i="8" s="1"/>
  <c r="Q31" i="8"/>
  <c r="Q30" i="8" s="1"/>
  <c r="P31" i="8"/>
  <c r="O31" i="8"/>
  <c r="N31" i="8"/>
  <c r="N30" i="8" s="1"/>
  <c r="M31" i="8"/>
  <c r="M30" i="8" s="1"/>
  <c r="L31" i="8"/>
  <c r="K31" i="8"/>
  <c r="J31" i="8"/>
  <c r="J30" i="8" s="1"/>
  <c r="I31" i="8"/>
  <c r="I30" i="8" s="1"/>
  <c r="H31" i="8"/>
  <c r="G31" i="8"/>
  <c r="F31" i="8"/>
  <c r="F30" i="8" s="1"/>
  <c r="E31" i="8"/>
  <c r="E30" i="8" s="1"/>
  <c r="T29" i="8"/>
  <c r="S28" i="8"/>
  <c r="S79" i="8" s="1"/>
  <c r="S78" i="8" s="1"/>
  <c r="R28" i="8"/>
  <c r="R79" i="8" s="1"/>
  <c r="R78" i="8" s="1"/>
  <c r="Q28" i="8"/>
  <c r="Q79" i="8" s="1"/>
  <c r="Q78" i="8" s="1"/>
  <c r="P28" i="8"/>
  <c r="P79" i="8" s="1"/>
  <c r="P78" i="8" s="1"/>
  <c r="O28" i="8"/>
  <c r="O79" i="8" s="1"/>
  <c r="O78" i="8" s="1"/>
  <c r="N28" i="8"/>
  <c r="N79" i="8" s="1"/>
  <c r="N78" i="8" s="1"/>
  <c r="M28" i="8"/>
  <c r="M79" i="8" s="1"/>
  <c r="M78" i="8" s="1"/>
  <c r="L28" i="8"/>
  <c r="L79" i="8" s="1"/>
  <c r="L78" i="8" s="1"/>
  <c r="K28" i="8"/>
  <c r="K79" i="8" s="1"/>
  <c r="K78" i="8" s="1"/>
  <c r="J28" i="8"/>
  <c r="J79" i="8" s="1"/>
  <c r="J78" i="8" s="1"/>
  <c r="I28" i="8"/>
  <c r="I79" i="8" s="1"/>
  <c r="I78" i="8" s="1"/>
  <c r="H28" i="8"/>
  <c r="H79" i="8" s="1"/>
  <c r="H78" i="8" s="1"/>
  <c r="G28" i="8"/>
  <c r="G79" i="8" s="1"/>
  <c r="G78" i="8" s="1"/>
  <c r="F28" i="8"/>
  <c r="F79" i="8" s="1"/>
  <c r="F78" i="8" s="1"/>
  <c r="E28" i="8"/>
  <c r="E79" i="8" s="1"/>
  <c r="S27" i="8"/>
  <c r="R27" i="8"/>
  <c r="O27" i="8"/>
  <c r="N27" i="8"/>
  <c r="K27" i="8"/>
  <c r="J27" i="8"/>
  <c r="G27" i="8"/>
  <c r="F27" i="8"/>
  <c r="P26" i="8"/>
  <c r="P25" i="8" s="1"/>
  <c r="O26" i="8"/>
  <c r="O25" i="8" s="1"/>
  <c r="L26" i="8"/>
  <c r="L25" i="8" s="1"/>
  <c r="K26" i="8"/>
  <c r="K25" i="8" s="1"/>
  <c r="J26" i="8"/>
  <c r="J25" i="8" s="1"/>
  <c r="H26" i="8"/>
  <c r="H25" i="8" s="1"/>
  <c r="G26" i="8"/>
  <c r="G25" i="8" s="1"/>
  <c r="F26" i="8"/>
  <c r="F25" i="8" s="1"/>
  <c r="S24" i="8"/>
  <c r="S23" i="8" s="1"/>
  <c r="R24" i="8"/>
  <c r="R23" i="8" s="1"/>
  <c r="P24" i="8"/>
  <c r="P23" i="8" s="1"/>
  <c r="O24" i="8"/>
  <c r="N24" i="8"/>
  <c r="N23" i="8" s="1"/>
  <c r="L24" i="8"/>
  <c r="H24" i="8"/>
  <c r="H23" i="8" s="1"/>
  <c r="G24" i="8"/>
  <c r="G23" i="8" s="1"/>
  <c r="O23" i="8"/>
  <c r="L23" i="8"/>
  <c r="S22" i="8"/>
  <c r="R22" i="8"/>
  <c r="P22" i="8"/>
  <c r="L22" i="8"/>
  <c r="K22" i="8"/>
  <c r="H22" i="8"/>
  <c r="G22" i="8"/>
  <c r="F22" i="8"/>
  <c r="R21" i="8"/>
  <c r="P21" i="8"/>
  <c r="P20" i="8" s="1"/>
  <c r="O21" i="8"/>
  <c r="L21" i="8"/>
  <c r="L20" i="8" s="1"/>
  <c r="K21" i="8"/>
  <c r="K20" i="8" s="1"/>
  <c r="J21" i="8"/>
  <c r="H21" i="8"/>
  <c r="G21" i="8"/>
  <c r="F21" i="8"/>
  <c r="F20" i="8" s="1"/>
  <c r="H20" i="8"/>
  <c r="S19" i="8"/>
  <c r="S18" i="8" s="1"/>
  <c r="R19" i="8"/>
  <c r="R18" i="8" s="1"/>
  <c r="P19" i="8"/>
  <c r="P18" i="8" s="1"/>
  <c r="O19" i="8"/>
  <c r="O18" i="8" s="1"/>
  <c r="N19" i="8"/>
  <c r="N18" i="8" s="1"/>
  <c r="L19" i="8"/>
  <c r="L18" i="8" s="1"/>
  <c r="J19" i="8"/>
  <c r="H19" i="8"/>
  <c r="H18" i="8" s="1"/>
  <c r="G19" i="8"/>
  <c r="G18" i="8" s="1"/>
  <c r="J18" i="8"/>
  <c r="S17" i="8"/>
  <c r="S16" i="8" s="1"/>
  <c r="R17" i="8"/>
  <c r="R16" i="8" s="1"/>
  <c r="Q17" i="8"/>
  <c r="Q16" i="8" s="1"/>
  <c r="O17" i="8"/>
  <c r="O16" i="8" s="1"/>
  <c r="N17" i="8"/>
  <c r="M17" i="8"/>
  <c r="M16" i="8" s="1"/>
  <c r="L17" i="8"/>
  <c r="L16" i="8" s="1"/>
  <c r="K17" i="8"/>
  <c r="K16" i="8" s="1"/>
  <c r="J17" i="8"/>
  <c r="I17" i="8"/>
  <c r="I16" i="8" s="1"/>
  <c r="H17" i="8"/>
  <c r="H16" i="8" s="1"/>
  <c r="G17" i="8"/>
  <c r="G16" i="8" s="1"/>
  <c r="F17" i="8"/>
  <c r="E17" i="8"/>
  <c r="T15" i="8"/>
  <c r="S14" i="8"/>
  <c r="R14" i="8"/>
  <c r="P14" i="8"/>
  <c r="O14" i="8"/>
  <c r="N14" i="8"/>
  <c r="L14" i="8"/>
  <c r="K14" i="8"/>
  <c r="J14" i="8"/>
  <c r="H14" i="8"/>
  <c r="G14" i="8"/>
  <c r="S13" i="8"/>
  <c r="R13" i="8"/>
  <c r="R12" i="8" s="1"/>
  <c r="P13" i="8"/>
  <c r="P12" i="8" s="1"/>
  <c r="O13" i="8"/>
  <c r="N13" i="8"/>
  <c r="L13" i="8"/>
  <c r="L12" i="8" s="1"/>
  <c r="K13" i="8"/>
  <c r="K12" i="8" s="1"/>
  <c r="H13" i="8"/>
  <c r="G13" i="8"/>
  <c r="G12" i="8" s="1"/>
  <c r="F13" i="8"/>
  <c r="S11" i="8"/>
  <c r="R11" i="8"/>
  <c r="R10" i="8" s="1"/>
  <c r="P11" i="8"/>
  <c r="P10" i="8" s="1"/>
  <c r="O11" i="8"/>
  <c r="O10" i="8" s="1"/>
  <c r="N11" i="8"/>
  <c r="K11" i="8"/>
  <c r="K10" i="8" s="1"/>
  <c r="J11" i="8"/>
  <c r="G11" i="8"/>
  <c r="G10" i="8" s="1"/>
  <c r="G8" i="8" s="1"/>
  <c r="F11" i="8"/>
  <c r="F10" i="8" s="1"/>
  <c r="S10" i="8"/>
  <c r="N10" i="8"/>
  <c r="J10" i="8"/>
  <c r="S9" i="8"/>
  <c r="R9" i="8"/>
  <c r="Q9" i="8"/>
  <c r="P9" i="8"/>
  <c r="O9" i="8"/>
  <c r="N9" i="8"/>
  <c r="M9" i="8"/>
  <c r="L9" i="8"/>
  <c r="K9" i="8"/>
  <c r="J9" i="8"/>
  <c r="I9" i="8"/>
  <c r="H9" i="8"/>
  <c r="G9" i="8"/>
  <c r="F9" i="8"/>
  <c r="E9" i="8"/>
  <c r="S7" i="8"/>
  <c r="R7" i="8"/>
  <c r="Q7" i="8"/>
  <c r="P7" i="8"/>
  <c r="O7" i="8"/>
  <c r="N7" i="8"/>
  <c r="M7" i="8"/>
  <c r="L7" i="8"/>
  <c r="K7" i="8"/>
  <c r="J7" i="8"/>
  <c r="I7" i="8"/>
  <c r="H7" i="8"/>
  <c r="G7" i="8"/>
  <c r="F7" i="8"/>
  <c r="E7" i="8"/>
  <c r="S6" i="8"/>
  <c r="S5" i="8" s="1"/>
  <c r="R6" i="8"/>
  <c r="Q6" i="8"/>
  <c r="P6" i="8"/>
  <c r="O6" i="8"/>
  <c r="N6" i="8"/>
  <c r="N5" i="8" s="1"/>
  <c r="M6" i="8"/>
  <c r="L6" i="8"/>
  <c r="K6" i="8"/>
  <c r="J6" i="8"/>
  <c r="I6" i="8"/>
  <c r="H6" i="8"/>
  <c r="G6" i="8"/>
  <c r="F6" i="8"/>
  <c r="F5" i="8" s="1"/>
  <c r="E6" i="8"/>
  <c r="K5" i="8"/>
  <c r="G5" i="8" l="1"/>
  <c r="H8" i="8"/>
  <c r="O5" i="8"/>
  <c r="P5" i="8"/>
  <c r="N12" i="8"/>
  <c r="R20" i="8"/>
  <c r="N22" i="8"/>
  <c r="J24" i="8"/>
  <c r="J23" i="8" s="1"/>
  <c r="R26" i="8"/>
  <c r="R25" i="8" s="1"/>
  <c r="G30" i="8"/>
  <c r="K30" i="8"/>
  <c r="O30" i="8"/>
  <c r="S30" i="8"/>
  <c r="K82" i="8"/>
  <c r="K49" i="8" s="1"/>
  <c r="S82" i="8"/>
  <c r="P8" i="8"/>
  <c r="H5" i="8"/>
  <c r="L5" i="8"/>
  <c r="L4" i="8" s="1"/>
  <c r="L107" i="8" s="1"/>
  <c r="T7" i="8"/>
  <c r="N8" i="8"/>
  <c r="H12" i="8"/>
  <c r="S12" i="8"/>
  <c r="J5" i="8"/>
  <c r="R5" i="8"/>
  <c r="F8" i="8"/>
  <c r="J13" i="8"/>
  <c r="J12" i="8" s="1"/>
  <c r="O12" i="8"/>
  <c r="F14" i="8"/>
  <c r="F12" i="8" s="1"/>
  <c r="F4" i="8" s="1"/>
  <c r="F107" i="8" s="1"/>
  <c r="F19" i="8"/>
  <c r="F18" i="8" s="1"/>
  <c r="K19" i="8"/>
  <c r="K18" i="8" s="1"/>
  <c r="N21" i="8"/>
  <c r="N20" i="8" s="1"/>
  <c r="S21" i="8"/>
  <c r="S20" i="8" s="1"/>
  <c r="J22" i="8"/>
  <c r="O22" i="8"/>
  <c r="O20" i="8" s="1"/>
  <c r="F24" i="8"/>
  <c r="F23" i="8" s="1"/>
  <c r="K24" i="8"/>
  <c r="K23" i="8" s="1"/>
  <c r="N26" i="8"/>
  <c r="N25" i="8" s="1"/>
  <c r="S26" i="8"/>
  <c r="S25" i="8" s="1"/>
  <c r="H30" i="8"/>
  <c r="L30" i="8"/>
  <c r="P30" i="8"/>
  <c r="X107" i="11"/>
  <c r="E5" i="8"/>
  <c r="I5" i="8"/>
  <c r="M5" i="8"/>
  <c r="Q5" i="8"/>
  <c r="J8" i="8"/>
  <c r="L11" i="8"/>
  <c r="L10" i="8" s="1"/>
  <c r="L8" i="8" s="1"/>
  <c r="R8" i="8"/>
  <c r="E19" i="8"/>
  <c r="E18" i="8" s="1"/>
  <c r="I19" i="8"/>
  <c r="I18" i="8" s="1"/>
  <c r="T18" i="8" s="1"/>
  <c r="M19" i="8"/>
  <c r="M18" i="8" s="1"/>
  <c r="Q19" i="8"/>
  <c r="Q18" i="8" s="1"/>
  <c r="P27" i="8"/>
  <c r="P4" i="8" s="1"/>
  <c r="P107" i="8" s="1"/>
  <c r="T31" i="8"/>
  <c r="P69" i="8"/>
  <c r="P68" i="8" s="1"/>
  <c r="T80" i="8"/>
  <c r="T83" i="8"/>
  <c r="E86" i="8"/>
  <c r="E82" i="8" s="1"/>
  <c r="I86" i="8"/>
  <c r="I82" i="8" s="1"/>
  <c r="M86" i="8"/>
  <c r="Q86" i="8"/>
  <c r="Q82" i="8" s="1"/>
  <c r="F86" i="8"/>
  <c r="F82" i="8" s="1"/>
  <c r="F49" i="8" s="1"/>
  <c r="J86" i="8"/>
  <c r="J82" i="8" s="1"/>
  <c r="N86" i="8"/>
  <c r="N82" i="8" s="1"/>
  <c r="N49" i="8" s="1"/>
  <c r="R86" i="8"/>
  <c r="R82" i="8" s="1"/>
  <c r="R49" i="8" s="1"/>
  <c r="T99" i="8"/>
  <c r="E13" i="8"/>
  <c r="I13" i="8"/>
  <c r="I12" i="8" s="1"/>
  <c r="M13" i="8"/>
  <c r="Q13" i="8"/>
  <c r="Q12" i="8" s="1"/>
  <c r="J20" i="8"/>
  <c r="E24" i="8"/>
  <c r="E23" i="8" s="1"/>
  <c r="I24" i="8"/>
  <c r="I23" i="8" s="1"/>
  <c r="M24" i="8"/>
  <c r="M23" i="8" s="1"/>
  <c r="Q24" i="8"/>
  <c r="Q23" i="8" s="1"/>
  <c r="H27" i="8"/>
  <c r="H69" i="8"/>
  <c r="H68" i="8" s="1"/>
  <c r="L77" i="8"/>
  <c r="L76" i="8" s="1"/>
  <c r="L49" i="8" s="1"/>
  <c r="G82" i="8"/>
  <c r="G49" i="8" s="1"/>
  <c r="O82" i="8"/>
  <c r="O49" i="8" s="1"/>
  <c r="T100" i="8"/>
  <c r="T105" i="8"/>
  <c r="P82" i="8"/>
  <c r="O8" i="8"/>
  <c r="S8" i="8"/>
  <c r="E14" i="8"/>
  <c r="I14" i="8"/>
  <c r="M14" i="8"/>
  <c r="Q14" i="8"/>
  <c r="E21" i="8"/>
  <c r="I21" i="8"/>
  <c r="M21" i="8"/>
  <c r="Q21" i="8"/>
  <c r="Q20" i="8" s="1"/>
  <c r="G20" i="8"/>
  <c r="G4" i="8" s="1"/>
  <c r="Q22" i="8"/>
  <c r="L27" i="8"/>
  <c r="K8" i="8"/>
  <c r="M20" i="8"/>
  <c r="T70" i="8"/>
  <c r="F16" i="8"/>
  <c r="J16" i="8"/>
  <c r="N4" i="8"/>
  <c r="N107" i="8" s="1"/>
  <c r="N16" i="8"/>
  <c r="E22" i="8"/>
  <c r="I22" i="8"/>
  <c r="I20" i="8" s="1"/>
  <c r="M22" i="8"/>
  <c r="T44" i="8"/>
  <c r="T73" i="8"/>
  <c r="T87" i="8"/>
  <c r="T90" i="8"/>
  <c r="I98" i="8"/>
  <c r="T101" i="8"/>
  <c r="T17" i="8"/>
  <c r="E16" i="8"/>
  <c r="T9" i="8"/>
  <c r="E26" i="8"/>
  <c r="I26" i="8"/>
  <c r="I25" i="8" s="1"/>
  <c r="M26" i="8"/>
  <c r="M25" i="8" s="1"/>
  <c r="Q26" i="8"/>
  <c r="Q25" i="8" s="1"/>
  <c r="T39" i="8"/>
  <c r="T67" i="8"/>
  <c r="T71" i="8"/>
  <c r="T88" i="8"/>
  <c r="T6" i="8"/>
  <c r="J49" i="8"/>
  <c r="T43" i="8"/>
  <c r="H72" i="8"/>
  <c r="T72" i="8" s="1"/>
  <c r="T74" i="8"/>
  <c r="S49" i="8"/>
  <c r="E78" i="8"/>
  <c r="T78" i="8" s="1"/>
  <c r="T79" i="8"/>
  <c r="E76" i="8"/>
  <c r="T28" i="8"/>
  <c r="E69" i="8"/>
  <c r="I69" i="8"/>
  <c r="I68" i="8" s="1"/>
  <c r="M69" i="8"/>
  <c r="M68" i="8" s="1"/>
  <c r="Q69" i="8"/>
  <c r="Q68" i="8" s="1"/>
  <c r="T106" i="8"/>
  <c r="T42" i="8"/>
  <c r="T93" i="8"/>
  <c r="E11" i="8"/>
  <c r="I11" i="8"/>
  <c r="I10" i="8" s="1"/>
  <c r="I8" i="8" s="1"/>
  <c r="M11" i="8"/>
  <c r="M10" i="8" s="1"/>
  <c r="M8" i="8" s="1"/>
  <c r="Q11" i="8"/>
  <c r="Q10" i="8" s="1"/>
  <c r="Q8" i="8" s="1"/>
  <c r="E27" i="8"/>
  <c r="I27" i="8"/>
  <c r="M27" i="8"/>
  <c r="Q27" i="8"/>
  <c r="O98" i="8"/>
  <c r="K4" i="8" l="1"/>
  <c r="K107" i="8" s="1"/>
  <c r="S4" i="8"/>
  <c r="S107" i="8" s="1"/>
  <c r="M12" i="8"/>
  <c r="R4" i="8"/>
  <c r="R107" i="8" s="1"/>
  <c r="T5" i="8"/>
  <c r="T14" i="8"/>
  <c r="O4" i="8"/>
  <c r="H4" i="8"/>
  <c r="H107" i="8" s="1"/>
  <c r="T23" i="8"/>
  <c r="T86" i="8"/>
  <c r="E12" i="8"/>
  <c r="T12" i="8" s="1"/>
  <c r="P49" i="8"/>
  <c r="J4" i="8"/>
  <c r="J107" i="8" s="1"/>
  <c r="L3" i="8"/>
  <c r="F3" i="8"/>
  <c r="J3" i="8"/>
  <c r="O107" i="8"/>
  <c r="O3" i="8"/>
  <c r="M82" i="8"/>
  <c r="T82" i="8" s="1"/>
  <c r="T76" i="8"/>
  <c r="T98" i="8"/>
  <c r="I49" i="8"/>
  <c r="N3" i="8"/>
  <c r="T77" i="8"/>
  <c r="K3" i="8"/>
  <c r="T19" i="8"/>
  <c r="T21" i="8"/>
  <c r="M4" i="8"/>
  <c r="T22" i="8"/>
  <c r="Q49" i="8"/>
  <c r="S3" i="8"/>
  <c r="P3" i="8"/>
  <c r="T24" i="8"/>
  <c r="T13" i="8"/>
  <c r="T26" i="8"/>
  <c r="E25" i="8"/>
  <c r="T25" i="8" s="1"/>
  <c r="G3" i="8"/>
  <c r="G107" i="8"/>
  <c r="T16" i="8"/>
  <c r="H49" i="8"/>
  <c r="E20" i="8"/>
  <c r="T20" i="8" s="1"/>
  <c r="T30" i="8"/>
  <c r="T27" i="8"/>
  <c r="T69" i="8"/>
  <c r="E68" i="8"/>
  <c r="E10" i="8"/>
  <c r="E8" i="8" s="1"/>
  <c r="T11" i="8"/>
  <c r="T10" i="8" s="1"/>
  <c r="Q4" i="8"/>
  <c r="I4" i="8"/>
  <c r="H3" i="8" l="1"/>
  <c r="R3" i="8"/>
  <c r="M107" i="8"/>
  <c r="M3" i="8"/>
  <c r="M49" i="8"/>
  <c r="Q3" i="8"/>
  <c r="Q107" i="8"/>
  <c r="I3" i="8"/>
  <c r="I107" i="8"/>
  <c r="E49" i="8"/>
  <c r="T68" i="8"/>
  <c r="E4" i="8"/>
  <c r="E107" i="8" s="1"/>
  <c r="T8" i="8"/>
  <c r="T49" i="8" l="1"/>
  <c r="E3" i="8"/>
  <c r="T3" i="8" s="1"/>
  <c r="T4" i="8"/>
  <c r="T107" i="8" l="1"/>
  <c r="L106" i="7"/>
  <c r="L105" i="7"/>
  <c r="L104" i="7"/>
  <c r="L103" i="7"/>
  <c r="L102" i="7"/>
  <c r="L101" i="7"/>
  <c r="L100" i="7"/>
  <c r="L99" i="7"/>
  <c r="K98" i="7"/>
  <c r="J98" i="7"/>
  <c r="I98" i="7"/>
  <c r="H98" i="7"/>
  <c r="G98" i="7"/>
  <c r="F98" i="7"/>
  <c r="E98" i="7"/>
  <c r="L97" i="7"/>
  <c r="L96" i="7"/>
  <c r="L95" i="7"/>
  <c r="L94" i="7"/>
  <c r="K93" i="7"/>
  <c r="K77" i="7" s="1"/>
  <c r="K76" i="7" s="1"/>
  <c r="J93" i="7"/>
  <c r="J77" i="7" s="1"/>
  <c r="J76" i="7" s="1"/>
  <c r="I93" i="7"/>
  <c r="H93" i="7"/>
  <c r="G93" i="7"/>
  <c r="G77" i="7" s="1"/>
  <c r="G76" i="7" s="1"/>
  <c r="F93" i="7"/>
  <c r="F77" i="7" s="1"/>
  <c r="F76" i="7" s="1"/>
  <c r="E93" i="7"/>
  <c r="L92" i="7"/>
  <c r="L91" i="7"/>
  <c r="K90" i="7"/>
  <c r="J90" i="7"/>
  <c r="I90" i="7"/>
  <c r="H90" i="7"/>
  <c r="G90" i="7"/>
  <c r="F90" i="7"/>
  <c r="E90" i="7"/>
  <c r="L90" i="7" s="1"/>
  <c r="L89" i="7"/>
  <c r="K88" i="7"/>
  <c r="J88" i="7"/>
  <c r="I88" i="7"/>
  <c r="H88" i="7"/>
  <c r="G88" i="7"/>
  <c r="F88" i="7"/>
  <c r="E88" i="7"/>
  <c r="L88" i="7" s="1"/>
  <c r="K87" i="7"/>
  <c r="J87" i="7"/>
  <c r="J86" i="7" s="1"/>
  <c r="I87" i="7"/>
  <c r="I86" i="7" s="1"/>
  <c r="H87" i="7"/>
  <c r="H86" i="7" s="1"/>
  <c r="G87" i="7"/>
  <c r="F87" i="7"/>
  <c r="E87" i="7"/>
  <c r="E86" i="7" s="1"/>
  <c r="K86" i="7"/>
  <c r="G86" i="7"/>
  <c r="F86" i="7"/>
  <c r="L85" i="7"/>
  <c r="L84" i="7"/>
  <c r="K83" i="7"/>
  <c r="K82" i="7" s="1"/>
  <c r="J83" i="7"/>
  <c r="I83" i="7"/>
  <c r="H83" i="7"/>
  <c r="G83" i="7"/>
  <c r="F83" i="7"/>
  <c r="E83" i="7"/>
  <c r="G82" i="7"/>
  <c r="L81" i="7"/>
  <c r="K80" i="7"/>
  <c r="J80" i="7"/>
  <c r="I80" i="7"/>
  <c r="H80" i="7"/>
  <c r="G80" i="7"/>
  <c r="F80" i="7"/>
  <c r="E80" i="7"/>
  <c r="L80" i="7" s="1"/>
  <c r="K79" i="7"/>
  <c r="J79" i="7"/>
  <c r="J78" i="7" s="1"/>
  <c r="I79" i="7"/>
  <c r="I78" i="7" s="1"/>
  <c r="H79" i="7"/>
  <c r="H78" i="7" s="1"/>
  <c r="G79" i="7"/>
  <c r="G78" i="7" s="1"/>
  <c r="F79" i="7"/>
  <c r="F78" i="7" s="1"/>
  <c r="E79" i="7"/>
  <c r="K78" i="7"/>
  <c r="I77" i="7"/>
  <c r="I76" i="7" s="1"/>
  <c r="H77" i="7"/>
  <c r="H76" i="7" s="1"/>
  <c r="E77" i="7"/>
  <c r="L75" i="7"/>
  <c r="K74" i="7"/>
  <c r="J74" i="7"/>
  <c r="I74" i="7"/>
  <c r="H74" i="7"/>
  <c r="G74" i="7"/>
  <c r="F74" i="7"/>
  <c r="E74" i="7"/>
  <c r="K73" i="7"/>
  <c r="K72" i="7" s="1"/>
  <c r="J73" i="7"/>
  <c r="J72" i="7" s="1"/>
  <c r="I73" i="7"/>
  <c r="H73" i="7"/>
  <c r="H72" i="7" s="1"/>
  <c r="G73" i="7"/>
  <c r="F73" i="7"/>
  <c r="F72" i="7" s="1"/>
  <c r="E73" i="7"/>
  <c r="E72" i="7" s="1"/>
  <c r="I72" i="7"/>
  <c r="G72" i="7"/>
  <c r="K71" i="7"/>
  <c r="K70" i="7" s="1"/>
  <c r="J71" i="7"/>
  <c r="J70" i="7" s="1"/>
  <c r="I71" i="7"/>
  <c r="I70" i="7" s="1"/>
  <c r="H71" i="7"/>
  <c r="G71" i="7"/>
  <c r="F71" i="7"/>
  <c r="F70" i="7" s="1"/>
  <c r="E71" i="7"/>
  <c r="E70" i="7" s="1"/>
  <c r="H70" i="7"/>
  <c r="G70" i="7"/>
  <c r="J69" i="7"/>
  <c r="J68" i="7" s="1"/>
  <c r="I69" i="7"/>
  <c r="I68" i="7" s="1"/>
  <c r="H69" i="7"/>
  <c r="H68" i="7" s="1"/>
  <c r="F69" i="7"/>
  <c r="F68" i="7" s="1"/>
  <c r="E69" i="7"/>
  <c r="E68" i="7" s="1"/>
  <c r="L67" i="7"/>
  <c r="L66" i="7"/>
  <c r="L65" i="7"/>
  <c r="L64" i="7"/>
  <c r="L63" i="7"/>
  <c r="L62" i="7"/>
  <c r="L61" i="7"/>
  <c r="L60" i="7"/>
  <c r="L59" i="7"/>
  <c r="L58" i="7"/>
  <c r="L57" i="7"/>
  <c r="L56" i="7"/>
  <c r="L55" i="7"/>
  <c r="L54" i="7"/>
  <c r="L53" i="7"/>
  <c r="L52" i="7"/>
  <c r="L51" i="7"/>
  <c r="L50" i="7"/>
  <c r="L48" i="7"/>
  <c r="L47" i="7"/>
  <c r="L46" i="7"/>
  <c r="L45" i="7"/>
  <c r="K44" i="7"/>
  <c r="J44" i="7"/>
  <c r="I44" i="7"/>
  <c r="H44" i="7"/>
  <c r="G44" i="7"/>
  <c r="F44" i="7"/>
  <c r="E44" i="7"/>
  <c r="L43" i="7"/>
  <c r="K42" i="7"/>
  <c r="J42" i="7"/>
  <c r="I42" i="7"/>
  <c r="H42" i="7"/>
  <c r="G42" i="7"/>
  <c r="F42" i="7"/>
  <c r="E42" i="7"/>
  <c r="L41" i="7"/>
  <c r="L40" i="7"/>
  <c r="K39" i="7"/>
  <c r="J39" i="7"/>
  <c r="I39" i="7"/>
  <c r="H39" i="7"/>
  <c r="G39" i="7"/>
  <c r="F39" i="7"/>
  <c r="E39" i="7"/>
  <c r="L38" i="7"/>
  <c r="L37" i="7"/>
  <c r="L36" i="7"/>
  <c r="L35" i="7"/>
  <c r="L34" i="7"/>
  <c r="L33" i="7"/>
  <c r="L32" i="7"/>
  <c r="K31" i="7"/>
  <c r="J31" i="7"/>
  <c r="I31" i="7"/>
  <c r="I30" i="7" s="1"/>
  <c r="H31" i="7"/>
  <c r="H30" i="7" s="1"/>
  <c r="G31" i="7"/>
  <c r="F31" i="7"/>
  <c r="E31" i="7"/>
  <c r="E30" i="7" s="1"/>
  <c r="L29" i="7"/>
  <c r="L28" i="7"/>
  <c r="J27" i="7"/>
  <c r="I27" i="7"/>
  <c r="H27" i="7"/>
  <c r="F27" i="7"/>
  <c r="E27" i="7"/>
  <c r="K26" i="7"/>
  <c r="K25" i="7" s="1"/>
  <c r="J26" i="7"/>
  <c r="J25" i="7" s="1"/>
  <c r="I26" i="7"/>
  <c r="I25" i="7" s="1"/>
  <c r="H26" i="7"/>
  <c r="H25" i="7" s="1"/>
  <c r="G26" i="7"/>
  <c r="G25" i="7" s="1"/>
  <c r="F26" i="7"/>
  <c r="E26" i="7"/>
  <c r="E25" i="7" s="1"/>
  <c r="F25" i="7"/>
  <c r="K24" i="7"/>
  <c r="K23" i="7" s="1"/>
  <c r="J24" i="7"/>
  <c r="J23" i="7" s="1"/>
  <c r="I24" i="7"/>
  <c r="I23" i="7" s="1"/>
  <c r="H24" i="7"/>
  <c r="G24" i="7"/>
  <c r="G23" i="7" s="1"/>
  <c r="F24" i="7"/>
  <c r="F23" i="7" s="1"/>
  <c r="E24" i="7"/>
  <c r="E23" i="7" s="1"/>
  <c r="H23" i="7"/>
  <c r="K22" i="7"/>
  <c r="J22" i="7"/>
  <c r="I22" i="7"/>
  <c r="H22" i="7"/>
  <c r="G22" i="7"/>
  <c r="F22" i="7"/>
  <c r="E22" i="7"/>
  <c r="K21" i="7"/>
  <c r="K20" i="7" s="1"/>
  <c r="J21" i="7"/>
  <c r="J20" i="7" s="1"/>
  <c r="I21" i="7"/>
  <c r="H21" i="7"/>
  <c r="G21" i="7"/>
  <c r="F21" i="7"/>
  <c r="F20" i="7" s="1"/>
  <c r="E21" i="7"/>
  <c r="I20" i="7"/>
  <c r="H20" i="7"/>
  <c r="K19" i="7"/>
  <c r="K18" i="7" s="1"/>
  <c r="J19" i="7"/>
  <c r="J18" i="7" s="1"/>
  <c r="I19" i="7"/>
  <c r="I18" i="7" s="1"/>
  <c r="H19" i="7"/>
  <c r="H18" i="7" s="1"/>
  <c r="G19" i="7"/>
  <c r="G18" i="7" s="1"/>
  <c r="F19" i="7"/>
  <c r="E19" i="7"/>
  <c r="F18" i="7"/>
  <c r="L17" i="7"/>
  <c r="L16" i="7"/>
  <c r="L15" i="7"/>
  <c r="K14" i="7"/>
  <c r="J14" i="7"/>
  <c r="I14" i="7"/>
  <c r="H14" i="7"/>
  <c r="G14" i="7"/>
  <c r="F14" i="7"/>
  <c r="E14" i="7"/>
  <c r="K13" i="7"/>
  <c r="J13" i="7"/>
  <c r="I13" i="7"/>
  <c r="H13" i="7"/>
  <c r="G13" i="7"/>
  <c r="F13" i="7"/>
  <c r="E13" i="7"/>
  <c r="E12" i="7" s="1"/>
  <c r="K11" i="7"/>
  <c r="K10" i="7" s="1"/>
  <c r="K8" i="7" s="1"/>
  <c r="J11" i="7"/>
  <c r="J10" i="7" s="1"/>
  <c r="J8" i="7" s="1"/>
  <c r="I11" i="7"/>
  <c r="I10" i="7" s="1"/>
  <c r="I8" i="7" s="1"/>
  <c r="H11" i="7"/>
  <c r="H10" i="7" s="1"/>
  <c r="G11" i="7"/>
  <c r="G10" i="7" s="1"/>
  <c r="G8" i="7" s="1"/>
  <c r="F11" i="7"/>
  <c r="F10" i="7" s="1"/>
  <c r="F8" i="7" s="1"/>
  <c r="E11" i="7"/>
  <c r="E10" i="7" s="1"/>
  <c r="E8" i="7" s="1"/>
  <c r="H9" i="7"/>
  <c r="H7" i="7"/>
  <c r="L7" i="7" s="1"/>
  <c r="H6" i="7"/>
  <c r="K5" i="7"/>
  <c r="J5" i="7"/>
  <c r="I5" i="7"/>
  <c r="G5" i="7"/>
  <c r="F5" i="7"/>
  <c r="E5" i="7"/>
  <c r="J106" i="6"/>
  <c r="J105" i="6"/>
  <c r="J104" i="6"/>
  <c r="J103" i="6"/>
  <c r="J102" i="6"/>
  <c r="J101" i="6"/>
  <c r="J100" i="6"/>
  <c r="J99" i="6"/>
  <c r="I98" i="6"/>
  <c r="H98" i="6"/>
  <c r="G98" i="6"/>
  <c r="F98" i="6"/>
  <c r="E98" i="6"/>
  <c r="J98" i="6" s="1"/>
  <c r="J97" i="6"/>
  <c r="J96" i="6"/>
  <c r="J95" i="6"/>
  <c r="J94" i="6"/>
  <c r="I93" i="6"/>
  <c r="H93" i="6"/>
  <c r="G93" i="6"/>
  <c r="G77" i="6" s="1"/>
  <c r="G76" i="6" s="1"/>
  <c r="F93" i="6"/>
  <c r="F27" i="6" s="1"/>
  <c r="E93" i="6"/>
  <c r="J92" i="6"/>
  <c r="J91" i="6"/>
  <c r="I90" i="6"/>
  <c r="H90" i="6"/>
  <c r="G90" i="6"/>
  <c r="F90" i="6"/>
  <c r="E90" i="6"/>
  <c r="J90" i="6" s="1"/>
  <c r="J89" i="6"/>
  <c r="I88" i="6"/>
  <c r="H88" i="6"/>
  <c r="G88" i="6"/>
  <c r="F88" i="6"/>
  <c r="E88" i="6"/>
  <c r="I87" i="6"/>
  <c r="I86" i="6" s="1"/>
  <c r="H87" i="6"/>
  <c r="H86" i="6" s="1"/>
  <c r="H82" i="6" s="1"/>
  <c r="G87" i="6"/>
  <c r="F87" i="6"/>
  <c r="F86" i="6" s="1"/>
  <c r="E87" i="6"/>
  <c r="E86" i="6" s="1"/>
  <c r="G86" i="6"/>
  <c r="J85" i="6"/>
  <c r="J84" i="6"/>
  <c r="I83" i="6"/>
  <c r="H83" i="6"/>
  <c r="G83" i="6"/>
  <c r="F83" i="6"/>
  <c r="E83" i="6"/>
  <c r="J81" i="6"/>
  <c r="I80" i="6"/>
  <c r="H80" i="6"/>
  <c r="G80" i="6"/>
  <c r="F80" i="6"/>
  <c r="E80" i="6"/>
  <c r="I79" i="6"/>
  <c r="I78" i="6" s="1"/>
  <c r="H79" i="6"/>
  <c r="H78" i="6" s="1"/>
  <c r="G79" i="6"/>
  <c r="F79" i="6"/>
  <c r="F78" i="6" s="1"/>
  <c r="E79" i="6"/>
  <c r="E78" i="6" s="1"/>
  <c r="G78" i="6"/>
  <c r="I77" i="6"/>
  <c r="I76" i="6" s="1"/>
  <c r="H77" i="6"/>
  <c r="H76" i="6" s="1"/>
  <c r="E77" i="6"/>
  <c r="E76" i="6" s="1"/>
  <c r="J75" i="6"/>
  <c r="I74" i="6"/>
  <c r="H74" i="6"/>
  <c r="G74" i="6"/>
  <c r="F74" i="6"/>
  <c r="E74" i="6"/>
  <c r="I73" i="6"/>
  <c r="I72" i="6" s="1"/>
  <c r="H73" i="6"/>
  <c r="H72" i="6" s="1"/>
  <c r="G73" i="6"/>
  <c r="G72" i="6" s="1"/>
  <c r="F73" i="6"/>
  <c r="E73" i="6"/>
  <c r="E72" i="6" s="1"/>
  <c r="F72" i="6"/>
  <c r="I71" i="6"/>
  <c r="H71" i="6"/>
  <c r="H70" i="6" s="1"/>
  <c r="G71" i="6"/>
  <c r="G70" i="6" s="1"/>
  <c r="F71" i="6"/>
  <c r="F70" i="6" s="1"/>
  <c r="E71" i="6"/>
  <c r="I70" i="6"/>
  <c r="E70" i="6"/>
  <c r="I69" i="6"/>
  <c r="H69" i="6"/>
  <c r="H68" i="6" s="1"/>
  <c r="E69" i="6"/>
  <c r="E68" i="6" s="1"/>
  <c r="I68" i="6"/>
  <c r="J67" i="6"/>
  <c r="J66" i="6"/>
  <c r="J65" i="6"/>
  <c r="J64" i="6"/>
  <c r="J63" i="6"/>
  <c r="J62" i="6"/>
  <c r="J61" i="6"/>
  <c r="J60" i="6"/>
  <c r="J59" i="6"/>
  <c r="J58" i="6"/>
  <c r="J57" i="6"/>
  <c r="J56" i="6"/>
  <c r="J55" i="6"/>
  <c r="J54" i="6"/>
  <c r="J53" i="6"/>
  <c r="J52" i="6"/>
  <c r="J51" i="6"/>
  <c r="J50" i="6"/>
  <c r="J48" i="6"/>
  <c r="J47" i="6"/>
  <c r="J46" i="6"/>
  <c r="J45" i="6"/>
  <c r="I44" i="6"/>
  <c r="H44" i="6"/>
  <c r="G44" i="6"/>
  <c r="F44" i="6"/>
  <c r="E44" i="6"/>
  <c r="J43" i="6"/>
  <c r="I42" i="6"/>
  <c r="H42" i="6"/>
  <c r="G42" i="6"/>
  <c r="F42" i="6"/>
  <c r="E42" i="6"/>
  <c r="J41" i="6"/>
  <c r="J40" i="6"/>
  <c r="I39" i="6"/>
  <c r="H39" i="6"/>
  <c r="G39" i="6"/>
  <c r="F39" i="6"/>
  <c r="E39" i="6"/>
  <c r="J38" i="6"/>
  <c r="J37" i="6"/>
  <c r="J36" i="6"/>
  <c r="J35" i="6"/>
  <c r="J34" i="6"/>
  <c r="J33" i="6"/>
  <c r="J32" i="6"/>
  <c r="I31" i="6"/>
  <c r="I30" i="6" s="1"/>
  <c r="H31" i="6"/>
  <c r="G31" i="6"/>
  <c r="F31" i="6"/>
  <c r="F30" i="6" s="1"/>
  <c r="E31" i="6"/>
  <c r="E30" i="6" s="1"/>
  <c r="J29" i="6"/>
  <c r="J28" i="6"/>
  <c r="I27" i="6"/>
  <c r="H27" i="6"/>
  <c r="E27" i="6"/>
  <c r="I26" i="6"/>
  <c r="H26" i="6"/>
  <c r="G26" i="6"/>
  <c r="G25" i="6" s="1"/>
  <c r="F26" i="6"/>
  <c r="F25" i="6" s="1"/>
  <c r="E26" i="6"/>
  <c r="E25" i="6" s="1"/>
  <c r="I25" i="6"/>
  <c r="H25" i="6"/>
  <c r="I24" i="6"/>
  <c r="H24" i="6"/>
  <c r="G24" i="6"/>
  <c r="G23" i="6" s="1"/>
  <c r="F24" i="6"/>
  <c r="E24" i="6"/>
  <c r="I23" i="6"/>
  <c r="H23" i="6"/>
  <c r="F23" i="6"/>
  <c r="E23" i="6"/>
  <c r="I22" i="6"/>
  <c r="H22" i="6"/>
  <c r="H20" i="6" s="1"/>
  <c r="G22" i="6"/>
  <c r="F22" i="6"/>
  <c r="E22" i="6"/>
  <c r="I21" i="6"/>
  <c r="I20" i="6" s="1"/>
  <c r="H21" i="6"/>
  <c r="G21" i="6"/>
  <c r="G20" i="6" s="1"/>
  <c r="F21" i="6"/>
  <c r="F20" i="6" s="1"/>
  <c r="E21" i="6"/>
  <c r="E20" i="6" s="1"/>
  <c r="I19" i="6"/>
  <c r="I18" i="6" s="1"/>
  <c r="H19" i="6"/>
  <c r="G19" i="6"/>
  <c r="F19" i="6"/>
  <c r="E19" i="6"/>
  <c r="E18" i="6" s="1"/>
  <c r="H18" i="6"/>
  <c r="G18" i="6"/>
  <c r="F18" i="6"/>
  <c r="J17" i="6"/>
  <c r="J16" i="6"/>
  <c r="J15" i="6"/>
  <c r="I14" i="6"/>
  <c r="H14" i="6"/>
  <c r="G14" i="6"/>
  <c r="F14" i="6"/>
  <c r="E14" i="6"/>
  <c r="I13" i="6"/>
  <c r="I12" i="6" s="1"/>
  <c r="H13" i="6"/>
  <c r="G13" i="6"/>
  <c r="F13" i="6"/>
  <c r="F12" i="6" s="1"/>
  <c r="E13" i="6"/>
  <c r="I11" i="6"/>
  <c r="I10" i="6" s="1"/>
  <c r="I8" i="6" s="1"/>
  <c r="H11" i="6"/>
  <c r="H10" i="6" s="1"/>
  <c r="H8" i="6" s="1"/>
  <c r="E11" i="6"/>
  <c r="E10" i="6" s="1"/>
  <c r="E8" i="6" s="1"/>
  <c r="J9" i="6"/>
  <c r="J7" i="6"/>
  <c r="J6" i="6"/>
  <c r="I5" i="6"/>
  <c r="H5" i="6"/>
  <c r="G5" i="6"/>
  <c r="F5" i="6"/>
  <c r="E5" i="6"/>
  <c r="W106" i="5"/>
  <c r="W105" i="5"/>
  <c r="W104" i="5"/>
  <c r="W103" i="5"/>
  <c r="W102" i="5"/>
  <c r="W101" i="5"/>
  <c r="W100" i="5"/>
  <c r="W99" i="5"/>
  <c r="V98" i="5"/>
  <c r="U98" i="5"/>
  <c r="T98" i="5"/>
  <c r="S98" i="5"/>
  <c r="R98" i="5"/>
  <c r="Q98" i="5"/>
  <c r="P98" i="5"/>
  <c r="O98" i="5"/>
  <c r="N98" i="5"/>
  <c r="M98" i="5"/>
  <c r="L98" i="5"/>
  <c r="K98" i="5"/>
  <c r="J98" i="5"/>
  <c r="I98" i="5"/>
  <c r="H98" i="5"/>
  <c r="G98" i="5"/>
  <c r="F98" i="5"/>
  <c r="E98" i="5"/>
  <c r="W98" i="5" s="1"/>
  <c r="W97" i="5"/>
  <c r="W96" i="5"/>
  <c r="W95" i="5"/>
  <c r="W94" i="5"/>
  <c r="V93" i="5"/>
  <c r="U93" i="5"/>
  <c r="U69" i="5" s="1"/>
  <c r="U68" i="5" s="1"/>
  <c r="T93" i="5"/>
  <c r="S93" i="5"/>
  <c r="R93" i="5"/>
  <c r="Q93" i="5"/>
  <c r="Q69" i="5" s="1"/>
  <c r="Q68" i="5" s="1"/>
  <c r="P93" i="5"/>
  <c r="O93" i="5"/>
  <c r="M93" i="5"/>
  <c r="M69" i="5" s="1"/>
  <c r="M68" i="5" s="1"/>
  <c r="L93" i="5"/>
  <c r="K93" i="5"/>
  <c r="J93" i="5"/>
  <c r="J77" i="5" s="1"/>
  <c r="J76" i="5" s="1"/>
  <c r="I93" i="5"/>
  <c r="I69" i="5" s="1"/>
  <c r="I68" i="5" s="1"/>
  <c r="H93" i="5"/>
  <c r="G93" i="5"/>
  <c r="F93" i="5"/>
  <c r="F77" i="5" s="1"/>
  <c r="F76" i="5" s="1"/>
  <c r="E93" i="5"/>
  <c r="W92" i="5"/>
  <c r="W91" i="5"/>
  <c r="V90" i="5"/>
  <c r="U90" i="5"/>
  <c r="T90" i="5"/>
  <c r="S90" i="5"/>
  <c r="R90" i="5"/>
  <c r="Q90" i="5"/>
  <c r="P90" i="5"/>
  <c r="O90" i="5"/>
  <c r="N90" i="5"/>
  <c r="M90" i="5"/>
  <c r="L90" i="5"/>
  <c r="K90" i="5"/>
  <c r="J90" i="5"/>
  <c r="I90" i="5"/>
  <c r="H90" i="5"/>
  <c r="G90" i="5"/>
  <c r="F90" i="5"/>
  <c r="E90" i="5"/>
  <c r="W89" i="5"/>
  <c r="V88" i="5"/>
  <c r="U88" i="5"/>
  <c r="T88" i="5"/>
  <c r="S88" i="5"/>
  <c r="R88" i="5"/>
  <c r="Q88" i="5"/>
  <c r="P88" i="5"/>
  <c r="O88" i="5"/>
  <c r="N88" i="5"/>
  <c r="M88" i="5"/>
  <c r="L88" i="5"/>
  <c r="K88" i="5"/>
  <c r="J88" i="5"/>
  <c r="I88" i="5"/>
  <c r="H88" i="5"/>
  <c r="G88" i="5"/>
  <c r="F88" i="5"/>
  <c r="E88" i="5"/>
  <c r="V87" i="5"/>
  <c r="U87" i="5"/>
  <c r="T87" i="5"/>
  <c r="S87" i="5"/>
  <c r="S86" i="5" s="1"/>
  <c r="R87" i="5"/>
  <c r="Q87" i="5"/>
  <c r="P87" i="5"/>
  <c r="O87" i="5"/>
  <c r="O86" i="5" s="1"/>
  <c r="O82" i="5" s="1"/>
  <c r="N87" i="5"/>
  <c r="M87" i="5"/>
  <c r="L87" i="5"/>
  <c r="K87" i="5"/>
  <c r="K86" i="5" s="1"/>
  <c r="K82" i="5" s="1"/>
  <c r="J87" i="5"/>
  <c r="I87" i="5"/>
  <c r="H87" i="5"/>
  <c r="G87" i="5"/>
  <c r="F87" i="5"/>
  <c r="E87" i="5"/>
  <c r="P86" i="5"/>
  <c r="P82" i="5" s="1"/>
  <c r="H86" i="5"/>
  <c r="H82" i="5" s="1"/>
  <c r="G86" i="5"/>
  <c r="G82" i="5" s="1"/>
  <c r="W85" i="5"/>
  <c r="W84" i="5"/>
  <c r="V83" i="5"/>
  <c r="U83" i="5"/>
  <c r="T83" i="5"/>
  <c r="S83" i="5"/>
  <c r="S82" i="5" s="1"/>
  <c r="R83" i="5"/>
  <c r="Q83" i="5"/>
  <c r="P83" i="5"/>
  <c r="O83" i="5"/>
  <c r="N83" i="5"/>
  <c r="M83" i="5"/>
  <c r="L83" i="5"/>
  <c r="K83" i="5"/>
  <c r="J83" i="5"/>
  <c r="I83" i="5"/>
  <c r="H83" i="5"/>
  <c r="G83" i="5"/>
  <c r="F83" i="5"/>
  <c r="E83" i="5"/>
  <c r="W83" i="5" s="1"/>
  <c r="W81" i="5"/>
  <c r="V80" i="5"/>
  <c r="U80" i="5"/>
  <c r="T80" i="5"/>
  <c r="S80" i="5"/>
  <c r="R80" i="5"/>
  <c r="Q80" i="5"/>
  <c r="P80" i="5"/>
  <c r="O80" i="5"/>
  <c r="N80" i="5"/>
  <c r="M80" i="5"/>
  <c r="L80" i="5"/>
  <c r="K80" i="5"/>
  <c r="J80" i="5"/>
  <c r="I80" i="5"/>
  <c r="H80" i="5"/>
  <c r="G80" i="5"/>
  <c r="F80" i="5"/>
  <c r="E80" i="5"/>
  <c r="V79" i="5"/>
  <c r="U79" i="5"/>
  <c r="U78" i="5" s="1"/>
  <c r="T79" i="5"/>
  <c r="T78" i="5" s="1"/>
  <c r="S79" i="5"/>
  <c r="S78" i="5" s="1"/>
  <c r="R79" i="5"/>
  <c r="Q79" i="5"/>
  <c r="P79" i="5"/>
  <c r="P78" i="5" s="1"/>
  <c r="O79" i="5"/>
  <c r="O78" i="5" s="1"/>
  <c r="N79" i="5"/>
  <c r="M79" i="5"/>
  <c r="L79" i="5"/>
  <c r="K79" i="5"/>
  <c r="K78" i="5" s="1"/>
  <c r="J79" i="5"/>
  <c r="J78" i="5" s="1"/>
  <c r="I79" i="5"/>
  <c r="I78" i="5" s="1"/>
  <c r="H79" i="5"/>
  <c r="H78" i="5" s="1"/>
  <c r="G79" i="5"/>
  <c r="F79" i="5"/>
  <c r="F78" i="5" s="1"/>
  <c r="E79" i="5"/>
  <c r="V78" i="5"/>
  <c r="R78" i="5"/>
  <c r="Q78" i="5"/>
  <c r="N78" i="5"/>
  <c r="M78" i="5"/>
  <c r="L78" i="5"/>
  <c r="E78" i="5"/>
  <c r="V77" i="5"/>
  <c r="U77" i="5"/>
  <c r="U76" i="5" s="1"/>
  <c r="T77" i="5"/>
  <c r="S77" i="5"/>
  <c r="S76" i="5" s="1"/>
  <c r="R77" i="5"/>
  <c r="Q77" i="5"/>
  <c r="Q76" i="5" s="1"/>
  <c r="P77" i="5"/>
  <c r="O77" i="5"/>
  <c r="N77" i="5"/>
  <c r="N76" i="5" s="1"/>
  <c r="M77" i="5"/>
  <c r="M76" i="5" s="1"/>
  <c r="L77" i="5"/>
  <c r="L76" i="5" s="1"/>
  <c r="K77" i="5"/>
  <c r="K76" i="5" s="1"/>
  <c r="I77" i="5"/>
  <c r="I76" i="5" s="1"/>
  <c r="H77" i="5"/>
  <c r="G77" i="5"/>
  <c r="G76" i="5" s="1"/>
  <c r="E77" i="5"/>
  <c r="V76" i="5"/>
  <c r="T76" i="5"/>
  <c r="R76" i="5"/>
  <c r="P76" i="5"/>
  <c r="O76" i="5"/>
  <c r="H76" i="5"/>
  <c r="W75" i="5"/>
  <c r="V74" i="5"/>
  <c r="U74" i="5"/>
  <c r="T74" i="5"/>
  <c r="S74" i="5"/>
  <c r="R74" i="5"/>
  <c r="Q74" i="5"/>
  <c r="P74" i="5"/>
  <c r="O74" i="5"/>
  <c r="N74" i="5"/>
  <c r="M74" i="5"/>
  <c r="L74" i="5"/>
  <c r="K74" i="5"/>
  <c r="J74" i="5"/>
  <c r="I74" i="5"/>
  <c r="H74" i="5"/>
  <c r="G74" i="5"/>
  <c r="F74" i="5"/>
  <c r="E74" i="5"/>
  <c r="V73" i="5"/>
  <c r="U73" i="5"/>
  <c r="U72" i="5" s="1"/>
  <c r="T73" i="5"/>
  <c r="T72" i="5" s="1"/>
  <c r="S73" i="5"/>
  <c r="S72" i="5" s="1"/>
  <c r="R73" i="5"/>
  <c r="Q73" i="5"/>
  <c r="P73" i="5"/>
  <c r="P72" i="5" s="1"/>
  <c r="O73" i="5"/>
  <c r="O72" i="5" s="1"/>
  <c r="N73" i="5"/>
  <c r="M73" i="5"/>
  <c r="L73" i="5"/>
  <c r="K73" i="5"/>
  <c r="K72" i="5" s="1"/>
  <c r="J73" i="5"/>
  <c r="J72" i="5" s="1"/>
  <c r="I73" i="5"/>
  <c r="I72" i="5" s="1"/>
  <c r="H73" i="5"/>
  <c r="H72" i="5" s="1"/>
  <c r="G73" i="5"/>
  <c r="F73" i="5"/>
  <c r="E73" i="5"/>
  <c r="E72" i="5" s="1"/>
  <c r="V72" i="5"/>
  <c r="R72" i="5"/>
  <c r="Q72" i="5"/>
  <c r="N72" i="5"/>
  <c r="M72" i="5"/>
  <c r="L72" i="5"/>
  <c r="F72" i="5"/>
  <c r="V71" i="5"/>
  <c r="U71" i="5"/>
  <c r="U70" i="5" s="1"/>
  <c r="T71" i="5"/>
  <c r="T70" i="5" s="1"/>
  <c r="S71" i="5"/>
  <c r="R71" i="5"/>
  <c r="Q71" i="5"/>
  <c r="Q70" i="5" s="1"/>
  <c r="P71" i="5"/>
  <c r="O71" i="5"/>
  <c r="N71" i="5"/>
  <c r="M71" i="5"/>
  <c r="M70" i="5" s="1"/>
  <c r="L71" i="5"/>
  <c r="K71" i="5"/>
  <c r="K70" i="5" s="1"/>
  <c r="J71" i="5"/>
  <c r="I71" i="5"/>
  <c r="I70" i="5" s="1"/>
  <c r="H71" i="5"/>
  <c r="H70" i="5" s="1"/>
  <c r="G71" i="5"/>
  <c r="F71" i="5"/>
  <c r="E71" i="5"/>
  <c r="V70" i="5"/>
  <c r="S70" i="5"/>
  <c r="R70" i="5"/>
  <c r="P70" i="5"/>
  <c r="O70" i="5"/>
  <c r="N70" i="5"/>
  <c r="L70" i="5"/>
  <c r="J70" i="5"/>
  <c r="G70" i="5"/>
  <c r="F70" i="5"/>
  <c r="V69" i="5"/>
  <c r="V68" i="5" s="1"/>
  <c r="T69" i="5"/>
  <c r="S69" i="5"/>
  <c r="S68" i="5" s="1"/>
  <c r="R69" i="5"/>
  <c r="P69" i="5"/>
  <c r="O69" i="5"/>
  <c r="O68" i="5" s="1"/>
  <c r="N69" i="5"/>
  <c r="N68" i="5" s="1"/>
  <c r="L69" i="5"/>
  <c r="L68" i="5" s="1"/>
  <c r="K69" i="5"/>
  <c r="K68" i="5" s="1"/>
  <c r="J69" i="5"/>
  <c r="H69" i="5"/>
  <c r="H68" i="5" s="1"/>
  <c r="G69" i="5"/>
  <c r="G68" i="5" s="1"/>
  <c r="F69" i="5"/>
  <c r="T68" i="5"/>
  <c r="R68" i="5"/>
  <c r="P68" i="5"/>
  <c r="J68" i="5"/>
  <c r="F68" i="5"/>
  <c r="W67" i="5"/>
  <c r="W66" i="5"/>
  <c r="W65" i="5"/>
  <c r="W64" i="5"/>
  <c r="W63" i="5"/>
  <c r="W62" i="5"/>
  <c r="W61" i="5"/>
  <c r="W60" i="5"/>
  <c r="W59" i="5"/>
  <c r="W58" i="5"/>
  <c r="W57" i="5"/>
  <c r="W56" i="5"/>
  <c r="W55" i="5"/>
  <c r="W54" i="5"/>
  <c r="W53" i="5"/>
  <c r="W52" i="5"/>
  <c r="W51" i="5"/>
  <c r="W50" i="5"/>
  <c r="W48" i="5"/>
  <c r="W47" i="5"/>
  <c r="W46" i="5"/>
  <c r="W45" i="5"/>
  <c r="V44" i="5"/>
  <c r="U44" i="5"/>
  <c r="T44" i="5"/>
  <c r="S44" i="5"/>
  <c r="R44" i="5"/>
  <c r="Q44" i="5"/>
  <c r="P44" i="5"/>
  <c r="O44" i="5"/>
  <c r="N44" i="5"/>
  <c r="M44" i="5"/>
  <c r="L44" i="5"/>
  <c r="K44" i="5"/>
  <c r="J44" i="5"/>
  <c r="I44" i="5"/>
  <c r="H44" i="5"/>
  <c r="G44" i="5"/>
  <c r="F44" i="5"/>
  <c r="E44" i="5"/>
  <c r="W43" i="5"/>
  <c r="V42" i="5"/>
  <c r="U42" i="5"/>
  <c r="T42" i="5"/>
  <c r="S42" i="5"/>
  <c r="R42" i="5"/>
  <c r="Q42" i="5"/>
  <c r="P42" i="5"/>
  <c r="O42" i="5"/>
  <c r="N42" i="5"/>
  <c r="M42" i="5"/>
  <c r="L42" i="5"/>
  <c r="K42" i="5"/>
  <c r="J42" i="5"/>
  <c r="I42" i="5"/>
  <c r="H42" i="5"/>
  <c r="G42" i="5"/>
  <c r="F42" i="5"/>
  <c r="E42" i="5"/>
  <c r="W41" i="5"/>
  <c r="W40" i="5"/>
  <c r="V39" i="5"/>
  <c r="U39" i="5"/>
  <c r="T39" i="5"/>
  <c r="S39" i="5"/>
  <c r="R39" i="5"/>
  <c r="Q39" i="5"/>
  <c r="P39" i="5"/>
  <c r="O39" i="5"/>
  <c r="N39" i="5"/>
  <c r="M39" i="5"/>
  <c r="L39" i="5"/>
  <c r="K39" i="5"/>
  <c r="J39" i="5"/>
  <c r="I39" i="5"/>
  <c r="H39" i="5"/>
  <c r="G39" i="5"/>
  <c r="F39" i="5"/>
  <c r="E39" i="5"/>
  <c r="W38" i="5"/>
  <c r="W37" i="5"/>
  <c r="W36" i="5"/>
  <c r="W35" i="5"/>
  <c r="W34" i="5"/>
  <c r="W33" i="5"/>
  <c r="W32" i="5"/>
  <c r="V31" i="5"/>
  <c r="V30" i="5" s="1"/>
  <c r="U31" i="5"/>
  <c r="U30" i="5" s="1"/>
  <c r="T31" i="5"/>
  <c r="T30" i="5" s="1"/>
  <c r="S31" i="5"/>
  <c r="R31" i="5"/>
  <c r="R30" i="5" s="1"/>
  <c r="Q31" i="5"/>
  <c r="Q30" i="5" s="1"/>
  <c r="P31" i="5"/>
  <c r="P30" i="5" s="1"/>
  <c r="O31" i="5"/>
  <c r="N31" i="5"/>
  <c r="N30" i="5" s="1"/>
  <c r="M31" i="5"/>
  <c r="M30" i="5" s="1"/>
  <c r="L31" i="5"/>
  <c r="L30" i="5" s="1"/>
  <c r="K31" i="5"/>
  <c r="J31" i="5"/>
  <c r="J30" i="5" s="1"/>
  <c r="I31" i="5"/>
  <c r="I30" i="5" s="1"/>
  <c r="H31" i="5"/>
  <c r="H30" i="5" s="1"/>
  <c r="G31" i="5"/>
  <c r="F31" i="5"/>
  <c r="F30" i="5" s="1"/>
  <c r="E31" i="5"/>
  <c r="E30" i="5" s="1"/>
  <c r="W29" i="5"/>
  <c r="W28" i="5"/>
  <c r="V27" i="5"/>
  <c r="U27" i="5"/>
  <c r="T27" i="5"/>
  <c r="S27" i="5"/>
  <c r="R27" i="5"/>
  <c r="Q27" i="5"/>
  <c r="P27" i="5"/>
  <c r="O27" i="5"/>
  <c r="N27" i="5"/>
  <c r="M27" i="5"/>
  <c r="L27" i="5"/>
  <c r="K27" i="5"/>
  <c r="J27" i="5"/>
  <c r="I27" i="5"/>
  <c r="H27" i="5"/>
  <c r="G27" i="5"/>
  <c r="F27" i="5"/>
  <c r="E27" i="5"/>
  <c r="V26" i="5"/>
  <c r="V25" i="5" s="1"/>
  <c r="U26" i="5"/>
  <c r="T26" i="5"/>
  <c r="S26" i="5"/>
  <c r="R26" i="5"/>
  <c r="R25" i="5" s="1"/>
  <c r="Q26" i="5"/>
  <c r="P26" i="5"/>
  <c r="O26" i="5"/>
  <c r="N26" i="5"/>
  <c r="N25" i="5" s="1"/>
  <c r="M26" i="5"/>
  <c r="L26" i="5"/>
  <c r="L25" i="5" s="1"/>
  <c r="K26" i="5"/>
  <c r="K25" i="5" s="1"/>
  <c r="J26" i="5"/>
  <c r="J25" i="5" s="1"/>
  <c r="I26" i="5"/>
  <c r="I25" i="5" s="1"/>
  <c r="H26" i="5"/>
  <c r="H25" i="5" s="1"/>
  <c r="G26" i="5"/>
  <c r="G25" i="5" s="1"/>
  <c r="F26" i="5"/>
  <c r="F25" i="5" s="1"/>
  <c r="E26" i="5"/>
  <c r="U25" i="5"/>
  <c r="T25" i="5"/>
  <c r="S25" i="5"/>
  <c r="Q25" i="5"/>
  <c r="P25" i="5"/>
  <c r="O25" i="5"/>
  <c r="M25" i="5"/>
  <c r="V24" i="5"/>
  <c r="V23" i="5" s="1"/>
  <c r="U24" i="5"/>
  <c r="U23" i="5" s="1"/>
  <c r="T24" i="5"/>
  <c r="T23" i="5" s="1"/>
  <c r="S24" i="5"/>
  <c r="R24" i="5"/>
  <c r="Q24" i="5"/>
  <c r="Q23" i="5" s="1"/>
  <c r="P24" i="5"/>
  <c r="P23" i="5" s="1"/>
  <c r="O24" i="5"/>
  <c r="N24" i="5"/>
  <c r="M24" i="5"/>
  <c r="L24" i="5"/>
  <c r="L23" i="5" s="1"/>
  <c r="K24" i="5"/>
  <c r="K23" i="5" s="1"/>
  <c r="J24" i="5"/>
  <c r="J23" i="5" s="1"/>
  <c r="I24" i="5"/>
  <c r="I23" i="5" s="1"/>
  <c r="H24" i="5"/>
  <c r="H23" i="5" s="1"/>
  <c r="G24" i="5"/>
  <c r="F24" i="5"/>
  <c r="E24" i="5"/>
  <c r="E23" i="5" s="1"/>
  <c r="S23" i="5"/>
  <c r="R23" i="5"/>
  <c r="O23" i="5"/>
  <c r="N23" i="5"/>
  <c r="M23" i="5"/>
  <c r="G23" i="5"/>
  <c r="F23" i="5"/>
  <c r="V22" i="5"/>
  <c r="U22" i="5"/>
  <c r="T22" i="5"/>
  <c r="S22" i="5"/>
  <c r="S20" i="5" s="1"/>
  <c r="R22" i="5"/>
  <c r="Q22" i="5"/>
  <c r="P22" i="5"/>
  <c r="O22" i="5"/>
  <c r="N22" i="5"/>
  <c r="M22" i="5"/>
  <c r="L22" i="5"/>
  <c r="K22" i="5"/>
  <c r="K20" i="5" s="1"/>
  <c r="J22" i="5"/>
  <c r="I22" i="5"/>
  <c r="H22" i="5"/>
  <c r="G22" i="5"/>
  <c r="F22" i="5"/>
  <c r="E22" i="5"/>
  <c r="V21" i="5"/>
  <c r="U21" i="5"/>
  <c r="U20" i="5" s="1"/>
  <c r="T21" i="5"/>
  <c r="S21" i="5"/>
  <c r="R21" i="5"/>
  <c r="Q21" i="5"/>
  <c r="Q20" i="5" s="1"/>
  <c r="P21" i="5"/>
  <c r="P20" i="5" s="1"/>
  <c r="O21" i="5"/>
  <c r="N21" i="5"/>
  <c r="M21" i="5"/>
  <c r="M20" i="5" s="1"/>
  <c r="L21" i="5"/>
  <c r="K21" i="5"/>
  <c r="J21" i="5"/>
  <c r="I21" i="5"/>
  <c r="I20" i="5" s="1"/>
  <c r="H21" i="5"/>
  <c r="H20" i="5" s="1"/>
  <c r="G21" i="5"/>
  <c r="F21" i="5"/>
  <c r="E21" i="5"/>
  <c r="T20" i="5"/>
  <c r="O20" i="5"/>
  <c r="L20" i="5"/>
  <c r="V19" i="5"/>
  <c r="V18" i="5" s="1"/>
  <c r="U19" i="5"/>
  <c r="U18" i="5" s="1"/>
  <c r="T19" i="5"/>
  <c r="S19" i="5"/>
  <c r="S18" i="5" s="1"/>
  <c r="R19" i="5"/>
  <c r="Q19" i="5"/>
  <c r="P19" i="5"/>
  <c r="O19" i="5"/>
  <c r="O18" i="5" s="1"/>
  <c r="N19" i="5"/>
  <c r="N18" i="5" s="1"/>
  <c r="M19" i="5"/>
  <c r="L19" i="5"/>
  <c r="K19" i="5"/>
  <c r="K18" i="5" s="1"/>
  <c r="J19" i="5"/>
  <c r="J18" i="5" s="1"/>
  <c r="I19" i="5"/>
  <c r="I18" i="5" s="1"/>
  <c r="H19" i="5"/>
  <c r="G19" i="5"/>
  <c r="F19" i="5"/>
  <c r="F18" i="5" s="1"/>
  <c r="E19" i="5"/>
  <c r="T18" i="5"/>
  <c r="R18" i="5"/>
  <c r="Q18" i="5"/>
  <c r="P18" i="5"/>
  <c r="M18" i="5"/>
  <c r="L18" i="5"/>
  <c r="H18" i="5"/>
  <c r="E18" i="5"/>
  <c r="W17" i="5"/>
  <c r="W16" i="5"/>
  <c r="W15" i="5"/>
  <c r="V14" i="5"/>
  <c r="U14" i="5"/>
  <c r="T14" i="5"/>
  <c r="S14" i="5"/>
  <c r="R14" i="5"/>
  <c r="Q14" i="5"/>
  <c r="P14" i="5"/>
  <c r="O14" i="5"/>
  <c r="N14" i="5"/>
  <c r="M14" i="5"/>
  <c r="L14" i="5"/>
  <c r="K14" i="5"/>
  <c r="J14" i="5"/>
  <c r="I14" i="5"/>
  <c r="H14" i="5"/>
  <c r="G14" i="5"/>
  <c r="F14" i="5"/>
  <c r="E14" i="5"/>
  <c r="V13" i="5"/>
  <c r="U13" i="5"/>
  <c r="T13" i="5"/>
  <c r="T12" i="5" s="1"/>
  <c r="S13" i="5"/>
  <c r="S12" i="5" s="1"/>
  <c r="R13" i="5"/>
  <c r="Q13" i="5"/>
  <c r="P13" i="5"/>
  <c r="P12" i="5" s="1"/>
  <c r="O13" i="5"/>
  <c r="O12" i="5" s="1"/>
  <c r="N13" i="5"/>
  <c r="M13" i="5"/>
  <c r="L13" i="5"/>
  <c r="L12" i="5" s="1"/>
  <c r="K13" i="5"/>
  <c r="K12" i="5" s="1"/>
  <c r="J13" i="5"/>
  <c r="I13" i="5"/>
  <c r="H13" i="5"/>
  <c r="H12" i="5" s="1"/>
  <c r="G13" i="5"/>
  <c r="G12" i="5" s="1"/>
  <c r="F13" i="5"/>
  <c r="E13" i="5"/>
  <c r="V11" i="5"/>
  <c r="V10" i="5" s="1"/>
  <c r="V8" i="5" s="1"/>
  <c r="U11" i="5"/>
  <c r="U10" i="5" s="1"/>
  <c r="U8" i="5" s="1"/>
  <c r="T11" i="5"/>
  <c r="S11" i="5"/>
  <c r="R11" i="5"/>
  <c r="R10" i="5" s="1"/>
  <c r="R8" i="5" s="1"/>
  <c r="Q11" i="5"/>
  <c r="P11" i="5"/>
  <c r="O11" i="5"/>
  <c r="O10" i="5" s="1"/>
  <c r="O8" i="5" s="1"/>
  <c r="N11" i="5"/>
  <c r="N10" i="5" s="1"/>
  <c r="N8" i="5" s="1"/>
  <c r="M11" i="5"/>
  <c r="M10" i="5" s="1"/>
  <c r="M8" i="5" s="1"/>
  <c r="L11" i="5"/>
  <c r="K11" i="5"/>
  <c r="K10" i="5" s="1"/>
  <c r="K8" i="5" s="1"/>
  <c r="J11" i="5"/>
  <c r="J10" i="5" s="1"/>
  <c r="J8" i="5" s="1"/>
  <c r="I11" i="5"/>
  <c r="I10" i="5" s="1"/>
  <c r="I8" i="5" s="1"/>
  <c r="H11" i="5"/>
  <c r="G11" i="5"/>
  <c r="G10" i="5" s="1"/>
  <c r="G8" i="5" s="1"/>
  <c r="F11" i="5"/>
  <c r="F10" i="5" s="1"/>
  <c r="F8" i="5" s="1"/>
  <c r="E11" i="5"/>
  <c r="E10" i="5" s="1"/>
  <c r="E8" i="5" s="1"/>
  <c r="T10" i="5"/>
  <c r="T8" i="5" s="1"/>
  <c r="S10" i="5"/>
  <c r="S8" i="5" s="1"/>
  <c r="Q10" i="5"/>
  <c r="P10" i="5"/>
  <c r="L10" i="5"/>
  <c r="L8" i="5" s="1"/>
  <c r="H10" i="5"/>
  <c r="H8" i="5" s="1"/>
  <c r="W9" i="5"/>
  <c r="Q8" i="5"/>
  <c r="P8" i="5"/>
  <c r="W7" i="5"/>
  <c r="W6" i="5"/>
  <c r="V5" i="5"/>
  <c r="U5" i="5"/>
  <c r="T5" i="5"/>
  <c r="S5" i="5"/>
  <c r="R5" i="5"/>
  <c r="Q5" i="5"/>
  <c r="P5" i="5"/>
  <c r="O5" i="5"/>
  <c r="N5" i="5"/>
  <c r="M5" i="5"/>
  <c r="L5" i="5"/>
  <c r="K5" i="5"/>
  <c r="J5" i="5"/>
  <c r="I5" i="5"/>
  <c r="H5" i="5"/>
  <c r="G5" i="5"/>
  <c r="F5" i="5"/>
  <c r="E5" i="5"/>
  <c r="Q106" i="4"/>
  <c r="Q105" i="4"/>
  <c r="Q104" i="4"/>
  <c r="Q103" i="4"/>
  <c r="Q102" i="4"/>
  <c r="Q101" i="4"/>
  <c r="Q100" i="4"/>
  <c r="Q99" i="4"/>
  <c r="P98" i="4"/>
  <c r="O98" i="4"/>
  <c r="N98" i="4"/>
  <c r="M98" i="4"/>
  <c r="L98" i="4"/>
  <c r="K98" i="4"/>
  <c r="J98" i="4"/>
  <c r="I98" i="4"/>
  <c r="H98" i="4"/>
  <c r="G98" i="4"/>
  <c r="F98" i="4"/>
  <c r="E98" i="4"/>
  <c r="Q97" i="4"/>
  <c r="Q96" i="4"/>
  <c r="Q95" i="4"/>
  <c r="Q94" i="4"/>
  <c r="P93" i="4"/>
  <c r="O93" i="4"/>
  <c r="O77" i="4" s="1"/>
  <c r="O76" i="4" s="1"/>
  <c r="N93" i="4"/>
  <c r="M93" i="4"/>
  <c r="M11" i="4" s="1"/>
  <c r="M10" i="4" s="1"/>
  <c r="M8" i="4" s="1"/>
  <c r="L93" i="4"/>
  <c r="K93" i="4"/>
  <c r="K77" i="4" s="1"/>
  <c r="K76" i="4" s="1"/>
  <c r="J93" i="4"/>
  <c r="J69" i="4" s="1"/>
  <c r="J68" i="4" s="1"/>
  <c r="I93" i="4"/>
  <c r="I11" i="4" s="1"/>
  <c r="I10" i="4" s="1"/>
  <c r="I8" i="4" s="1"/>
  <c r="H93" i="4"/>
  <c r="H77" i="4" s="1"/>
  <c r="H76" i="4" s="1"/>
  <c r="G93" i="4"/>
  <c r="G77" i="4" s="1"/>
  <c r="G76" i="4" s="1"/>
  <c r="F93" i="4"/>
  <c r="F77" i="4" s="1"/>
  <c r="F76" i="4" s="1"/>
  <c r="E93" i="4"/>
  <c r="Q92" i="4"/>
  <c r="Q91" i="4"/>
  <c r="P90" i="4"/>
  <c r="O90" i="4"/>
  <c r="N90" i="4"/>
  <c r="M90" i="4"/>
  <c r="L90" i="4"/>
  <c r="K90" i="4"/>
  <c r="J90" i="4"/>
  <c r="I90" i="4"/>
  <c r="H90" i="4"/>
  <c r="G90" i="4"/>
  <c r="F90" i="4"/>
  <c r="E90" i="4"/>
  <c r="Q89" i="4"/>
  <c r="P88" i="4"/>
  <c r="O88" i="4"/>
  <c r="N88" i="4"/>
  <c r="M88" i="4"/>
  <c r="L88" i="4"/>
  <c r="K88" i="4"/>
  <c r="J88" i="4"/>
  <c r="I88" i="4"/>
  <c r="H88" i="4"/>
  <c r="G88" i="4"/>
  <c r="F88" i="4"/>
  <c r="E88" i="4"/>
  <c r="P87" i="4"/>
  <c r="O87" i="4"/>
  <c r="O86" i="4" s="1"/>
  <c r="N87" i="4"/>
  <c r="M87" i="4"/>
  <c r="M86" i="4" s="1"/>
  <c r="L87" i="4"/>
  <c r="L86" i="4" s="1"/>
  <c r="K87" i="4"/>
  <c r="K86" i="4" s="1"/>
  <c r="J87" i="4"/>
  <c r="I87" i="4"/>
  <c r="I86" i="4" s="1"/>
  <c r="H87" i="4"/>
  <c r="H86" i="4" s="1"/>
  <c r="G87" i="4"/>
  <c r="G86" i="4" s="1"/>
  <c r="F87" i="4"/>
  <c r="E87" i="4"/>
  <c r="P86" i="4"/>
  <c r="Q85" i="4"/>
  <c r="Q84" i="4"/>
  <c r="P83" i="4"/>
  <c r="O83" i="4"/>
  <c r="N83" i="4"/>
  <c r="M83" i="4"/>
  <c r="L83" i="4"/>
  <c r="K83" i="4"/>
  <c r="J83" i="4"/>
  <c r="I83" i="4"/>
  <c r="H83" i="4"/>
  <c r="G83" i="4"/>
  <c r="F83" i="4"/>
  <c r="E83" i="4"/>
  <c r="Q83" i="4" s="1"/>
  <c r="Q81" i="4"/>
  <c r="P80" i="4"/>
  <c r="O80" i="4"/>
  <c r="N80" i="4"/>
  <c r="M80" i="4"/>
  <c r="L80" i="4"/>
  <c r="K80" i="4"/>
  <c r="J80" i="4"/>
  <c r="I80" i="4"/>
  <c r="H80" i="4"/>
  <c r="G80" i="4"/>
  <c r="F80" i="4"/>
  <c r="E80" i="4"/>
  <c r="P79" i="4"/>
  <c r="O79" i="4"/>
  <c r="O78" i="4" s="1"/>
  <c r="N79" i="4"/>
  <c r="N78" i="4" s="1"/>
  <c r="M79" i="4"/>
  <c r="M78" i="4" s="1"/>
  <c r="L79" i="4"/>
  <c r="K79" i="4"/>
  <c r="K78" i="4" s="1"/>
  <c r="J79" i="4"/>
  <c r="J78" i="4" s="1"/>
  <c r="I79" i="4"/>
  <c r="I78" i="4" s="1"/>
  <c r="H79" i="4"/>
  <c r="G79" i="4"/>
  <c r="G78" i="4" s="1"/>
  <c r="F79" i="4"/>
  <c r="F78" i="4" s="1"/>
  <c r="E79" i="4"/>
  <c r="P78" i="4"/>
  <c r="L78" i="4"/>
  <c r="H78" i="4"/>
  <c r="P77" i="4"/>
  <c r="P76" i="4" s="1"/>
  <c r="N77" i="4"/>
  <c r="N76" i="4" s="1"/>
  <c r="M77" i="4"/>
  <c r="M76" i="4" s="1"/>
  <c r="L77" i="4"/>
  <c r="J77" i="4"/>
  <c r="I77" i="4"/>
  <c r="I76" i="4" s="1"/>
  <c r="E77" i="4"/>
  <c r="L76" i="4"/>
  <c r="J76" i="4"/>
  <c r="Q75" i="4"/>
  <c r="P74" i="4"/>
  <c r="O74" i="4"/>
  <c r="N74" i="4"/>
  <c r="M74" i="4"/>
  <c r="L74" i="4"/>
  <c r="K74" i="4"/>
  <c r="J74" i="4"/>
  <c r="I74" i="4"/>
  <c r="H74" i="4"/>
  <c r="G74" i="4"/>
  <c r="F74" i="4"/>
  <c r="E74" i="4"/>
  <c r="P73" i="4"/>
  <c r="O73" i="4"/>
  <c r="O72" i="4" s="1"/>
  <c r="N73" i="4"/>
  <c r="N72" i="4" s="1"/>
  <c r="M73" i="4"/>
  <c r="M72" i="4" s="1"/>
  <c r="L73" i="4"/>
  <c r="L72" i="4" s="1"/>
  <c r="K73" i="4"/>
  <c r="K72" i="4" s="1"/>
  <c r="J73" i="4"/>
  <c r="I73" i="4"/>
  <c r="I72" i="4" s="1"/>
  <c r="H73" i="4"/>
  <c r="H72" i="4" s="1"/>
  <c r="G73" i="4"/>
  <c r="G72" i="4" s="1"/>
  <c r="F73" i="4"/>
  <c r="F72" i="4" s="1"/>
  <c r="E73" i="4"/>
  <c r="P72" i="4"/>
  <c r="J72" i="4"/>
  <c r="P71" i="4"/>
  <c r="O71" i="4"/>
  <c r="O70" i="4" s="1"/>
  <c r="N71" i="4"/>
  <c r="N70" i="4" s="1"/>
  <c r="M71" i="4"/>
  <c r="M70" i="4" s="1"/>
  <c r="L71" i="4"/>
  <c r="K71" i="4"/>
  <c r="K70" i="4" s="1"/>
  <c r="J71" i="4"/>
  <c r="J70" i="4" s="1"/>
  <c r="I71" i="4"/>
  <c r="I70" i="4" s="1"/>
  <c r="H71" i="4"/>
  <c r="G71" i="4"/>
  <c r="G70" i="4" s="1"/>
  <c r="F71" i="4"/>
  <c r="F70" i="4" s="1"/>
  <c r="E71" i="4"/>
  <c r="P70" i="4"/>
  <c r="L70" i="4"/>
  <c r="H70" i="4"/>
  <c r="P69" i="4"/>
  <c r="N69" i="4"/>
  <c r="N68" i="4" s="1"/>
  <c r="M69" i="4"/>
  <c r="M68" i="4" s="1"/>
  <c r="L69" i="4"/>
  <c r="L68" i="4" s="1"/>
  <c r="I69" i="4"/>
  <c r="I68" i="4" s="1"/>
  <c r="H69" i="4"/>
  <c r="H68" i="4" s="1"/>
  <c r="F69" i="4"/>
  <c r="F68" i="4" s="1"/>
  <c r="E69" i="4"/>
  <c r="P68" i="4"/>
  <c r="Q67" i="4"/>
  <c r="Q66" i="4"/>
  <c r="Q65" i="4"/>
  <c r="Q64" i="4"/>
  <c r="Q63" i="4"/>
  <c r="Q62" i="4"/>
  <c r="Q61" i="4"/>
  <c r="Q60" i="4"/>
  <c r="Q59" i="4"/>
  <c r="Q58" i="4"/>
  <c r="Q57" i="4"/>
  <c r="Q56" i="4"/>
  <c r="Q55" i="4"/>
  <c r="Q54" i="4"/>
  <c r="Q53" i="4"/>
  <c r="Q52" i="4"/>
  <c r="Q51" i="4"/>
  <c r="Q48" i="4"/>
  <c r="Q47" i="4"/>
  <c r="Q46" i="4"/>
  <c r="Q45" i="4"/>
  <c r="P44" i="4"/>
  <c r="O44" i="4"/>
  <c r="N44" i="4"/>
  <c r="M44" i="4"/>
  <c r="L44" i="4"/>
  <c r="K44" i="4"/>
  <c r="J44" i="4"/>
  <c r="I44" i="4"/>
  <c r="H44" i="4"/>
  <c r="G44" i="4"/>
  <c r="F44" i="4"/>
  <c r="E44" i="4"/>
  <c r="Q43" i="4"/>
  <c r="P42" i="4"/>
  <c r="O42" i="4"/>
  <c r="N42" i="4"/>
  <c r="M42" i="4"/>
  <c r="L42" i="4"/>
  <c r="K42" i="4"/>
  <c r="J42" i="4"/>
  <c r="I42" i="4"/>
  <c r="H42" i="4"/>
  <c r="G42" i="4"/>
  <c r="F42" i="4"/>
  <c r="E42" i="4"/>
  <c r="Q41" i="4"/>
  <c r="Q40" i="4"/>
  <c r="P39" i="4"/>
  <c r="O39" i="4"/>
  <c r="N39" i="4"/>
  <c r="M39" i="4"/>
  <c r="L39" i="4"/>
  <c r="K39" i="4"/>
  <c r="J39" i="4"/>
  <c r="I39" i="4"/>
  <c r="H39" i="4"/>
  <c r="G39" i="4"/>
  <c r="F39" i="4"/>
  <c r="E39" i="4"/>
  <c r="Q38" i="4"/>
  <c r="Q37" i="4"/>
  <c r="Q36" i="4"/>
  <c r="Q35" i="4"/>
  <c r="Q34" i="4"/>
  <c r="Q33" i="4"/>
  <c r="Q32" i="4"/>
  <c r="P31" i="4"/>
  <c r="O31" i="4"/>
  <c r="N31" i="4"/>
  <c r="M31" i="4"/>
  <c r="M30" i="4" s="1"/>
  <c r="L31" i="4"/>
  <c r="K31" i="4"/>
  <c r="J31" i="4"/>
  <c r="I31" i="4"/>
  <c r="I30" i="4" s="1"/>
  <c r="H31" i="4"/>
  <c r="G31" i="4"/>
  <c r="F31" i="4"/>
  <c r="E31" i="4"/>
  <c r="E30" i="4" s="1"/>
  <c r="Q29" i="4"/>
  <c r="Q28" i="4"/>
  <c r="P27" i="4"/>
  <c r="O27" i="4"/>
  <c r="N27" i="4"/>
  <c r="M27" i="4"/>
  <c r="L27" i="4"/>
  <c r="K27" i="4"/>
  <c r="J27" i="4"/>
  <c r="I27" i="4"/>
  <c r="H27" i="4"/>
  <c r="G27" i="4"/>
  <c r="F27" i="4"/>
  <c r="E27" i="4"/>
  <c r="P26" i="4"/>
  <c r="P25" i="4" s="1"/>
  <c r="O26" i="4"/>
  <c r="O25" i="4" s="1"/>
  <c r="N26" i="4"/>
  <c r="N25" i="4" s="1"/>
  <c r="M26" i="4"/>
  <c r="M25" i="4" s="1"/>
  <c r="L26" i="4"/>
  <c r="L25" i="4" s="1"/>
  <c r="K26" i="4"/>
  <c r="K25" i="4" s="1"/>
  <c r="J26" i="4"/>
  <c r="J25" i="4" s="1"/>
  <c r="I26" i="4"/>
  <c r="H26" i="4"/>
  <c r="H25" i="4" s="1"/>
  <c r="G26" i="4"/>
  <c r="G25" i="4" s="1"/>
  <c r="F26" i="4"/>
  <c r="F25" i="4" s="1"/>
  <c r="E26" i="4"/>
  <c r="I25" i="4"/>
  <c r="E25" i="4"/>
  <c r="P24" i="4"/>
  <c r="P23" i="4" s="1"/>
  <c r="O24" i="4"/>
  <c r="O23" i="4" s="1"/>
  <c r="N24" i="4"/>
  <c r="N23" i="4" s="1"/>
  <c r="M24" i="4"/>
  <c r="M23" i="4" s="1"/>
  <c r="L24" i="4"/>
  <c r="L23" i="4" s="1"/>
  <c r="K24" i="4"/>
  <c r="J24" i="4"/>
  <c r="J23" i="4" s="1"/>
  <c r="I24" i="4"/>
  <c r="I23" i="4" s="1"/>
  <c r="H24" i="4"/>
  <c r="H23" i="4" s="1"/>
  <c r="G24" i="4"/>
  <c r="G23" i="4" s="1"/>
  <c r="F24" i="4"/>
  <c r="F23" i="4" s="1"/>
  <c r="E24" i="4"/>
  <c r="K23" i="4"/>
  <c r="E23" i="4"/>
  <c r="P22" i="4"/>
  <c r="O22" i="4"/>
  <c r="N22" i="4"/>
  <c r="M22" i="4"/>
  <c r="L22" i="4"/>
  <c r="K22" i="4"/>
  <c r="J22" i="4"/>
  <c r="I22" i="4"/>
  <c r="H22" i="4"/>
  <c r="G22" i="4"/>
  <c r="F22" i="4"/>
  <c r="E22" i="4"/>
  <c r="P21" i="4"/>
  <c r="O21" i="4"/>
  <c r="O20" i="4" s="1"/>
  <c r="N21" i="4"/>
  <c r="M21" i="4"/>
  <c r="M20" i="4" s="1"/>
  <c r="L21" i="4"/>
  <c r="L20" i="4" s="1"/>
  <c r="K21" i="4"/>
  <c r="K20" i="4" s="1"/>
  <c r="J21" i="4"/>
  <c r="I21" i="4"/>
  <c r="I20" i="4" s="1"/>
  <c r="H21" i="4"/>
  <c r="H20" i="4" s="1"/>
  <c r="G21" i="4"/>
  <c r="G20" i="4" s="1"/>
  <c r="F21" i="4"/>
  <c r="E21" i="4"/>
  <c r="P20" i="4"/>
  <c r="P19" i="4"/>
  <c r="O19" i="4"/>
  <c r="O18" i="4" s="1"/>
  <c r="N19" i="4"/>
  <c r="N18" i="4" s="1"/>
  <c r="M19" i="4"/>
  <c r="M18" i="4" s="1"/>
  <c r="L19" i="4"/>
  <c r="K19" i="4"/>
  <c r="K18" i="4" s="1"/>
  <c r="J19" i="4"/>
  <c r="J18" i="4" s="1"/>
  <c r="I19" i="4"/>
  <c r="I18" i="4" s="1"/>
  <c r="H19" i="4"/>
  <c r="G19" i="4"/>
  <c r="G18" i="4" s="1"/>
  <c r="F19" i="4"/>
  <c r="F18" i="4" s="1"/>
  <c r="E19" i="4"/>
  <c r="E18" i="4" s="1"/>
  <c r="P18" i="4"/>
  <c r="L18" i="4"/>
  <c r="H18" i="4"/>
  <c r="Q17" i="4"/>
  <c r="Q16" i="4"/>
  <c r="Q15" i="4"/>
  <c r="P14" i="4"/>
  <c r="O14" i="4"/>
  <c r="N14" i="4"/>
  <c r="M14" i="4"/>
  <c r="L14" i="4"/>
  <c r="K14" i="4"/>
  <c r="J14" i="4"/>
  <c r="I14" i="4"/>
  <c r="H14" i="4"/>
  <c r="G14" i="4"/>
  <c r="F14" i="4"/>
  <c r="E14" i="4"/>
  <c r="P13" i="4"/>
  <c r="P12" i="4" s="1"/>
  <c r="O13" i="4"/>
  <c r="O12" i="4" s="1"/>
  <c r="N13" i="4"/>
  <c r="N12" i="4" s="1"/>
  <c r="M13" i="4"/>
  <c r="M12" i="4" s="1"/>
  <c r="L13" i="4"/>
  <c r="L12" i="4" s="1"/>
  <c r="K13" i="4"/>
  <c r="K12" i="4" s="1"/>
  <c r="J13" i="4"/>
  <c r="J12" i="4" s="1"/>
  <c r="I13" i="4"/>
  <c r="I12" i="4" s="1"/>
  <c r="H13" i="4"/>
  <c r="H12" i="4" s="1"/>
  <c r="G13" i="4"/>
  <c r="G12" i="4" s="1"/>
  <c r="F13" i="4"/>
  <c r="F12" i="4" s="1"/>
  <c r="E13" i="4"/>
  <c r="E12" i="4" s="1"/>
  <c r="P11" i="4"/>
  <c r="P10" i="4" s="1"/>
  <c r="P8" i="4" s="1"/>
  <c r="N11" i="4"/>
  <c r="N10" i="4" s="1"/>
  <c r="N8" i="4" s="1"/>
  <c r="L11" i="4"/>
  <c r="L10" i="4" s="1"/>
  <c r="L8" i="4" s="1"/>
  <c r="J11" i="4"/>
  <c r="J10" i="4" s="1"/>
  <c r="J8" i="4" s="1"/>
  <c r="H11" i="4"/>
  <c r="H10" i="4" s="1"/>
  <c r="H8" i="4" s="1"/>
  <c r="G11" i="4"/>
  <c r="G10" i="4" s="1"/>
  <c r="G8" i="4" s="1"/>
  <c r="F11" i="4"/>
  <c r="F10" i="4" s="1"/>
  <c r="F8" i="4" s="1"/>
  <c r="Q9" i="4"/>
  <c r="Q7" i="4"/>
  <c r="Q6" i="4"/>
  <c r="P5" i="4"/>
  <c r="O5" i="4"/>
  <c r="N5" i="4"/>
  <c r="M5" i="4"/>
  <c r="L5" i="4"/>
  <c r="K5" i="4"/>
  <c r="J5" i="4"/>
  <c r="I5" i="4"/>
  <c r="H5" i="4"/>
  <c r="G5" i="4"/>
  <c r="F5" i="4"/>
  <c r="E5" i="4"/>
  <c r="M106" i="3"/>
  <c r="M105" i="3"/>
  <c r="M104" i="3"/>
  <c r="M103" i="3"/>
  <c r="M102" i="3"/>
  <c r="M101" i="3"/>
  <c r="M100" i="3"/>
  <c r="M99" i="3"/>
  <c r="L98" i="3"/>
  <c r="K98" i="3"/>
  <c r="J98" i="3"/>
  <c r="I98" i="3"/>
  <c r="H98" i="3"/>
  <c r="G98" i="3"/>
  <c r="F98" i="3"/>
  <c r="E98" i="3"/>
  <c r="M97" i="3"/>
  <c r="M96" i="3"/>
  <c r="M95" i="3"/>
  <c r="M94" i="3"/>
  <c r="L93" i="3"/>
  <c r="K93" i="3"/>
  <c r="K69" i="3" s="1"/>
  <c r="K68" i="3" s="1"/>
  <c r="J93" i="3"/>
  <c r="J77" i="3" s="1"/>
  <c r="J76" i="3" s="1"/>
  <c r="I93" i="3"/>
  <c r="H93" i="3"/>
  <c r="G93" i="3"/>
  <c r="G69" i="3" s="1"/>
  <c r="F93" i="3"/>
  <c r="F77" i="3" s="1"/>
  <c r="F76" i="3" s="1"/>
  <c r="E93" i="3"/>
  <c r="M92" i="3"/>
  <c r="M91" i="3"/>
  <c r="L90" i="3"/>
  <c r="K90" i="3"/>
  <c r="J90" i="3"/>
  <c r="I90" i="3"/>
  <c r="H90" i="3"/>
  <c r="G90" i="3"/>
  <c r="F90" i="3"/>
  <c r="E90" i="3"/>
  <c r="M89" i="3"/>
  <c r="L88" i="3"/>
  <c r="K88" i="3"/>
  <c r="J88" i="3"/>
  <c r="I88" i="3"/>
  <c r="H88" i="3"/>
  <c r="G88" i="3"/>
  <c r="F88" i="3"/>
  <c r="E88" i="3"/>
  <c r="L87" i="3"/>
  <c r="K87" i="3"/>
  <c r="K86" i="3" s="1"/>
  <c r="J87" i="3"/>
  <c r="I87" i="3"/>
  <c r="I86" i="3" s="1"/>
  <c r="H87" i="3"/>
  <c r="H86" i="3" s="1"/>
  <c r="G87" i="3"/>
  <c r="G86" i="3" s="1"/>
  <c r="F87" i="3"/>
  <c r="E87" i="3"/>
  <c r="L86" i="3"/>
  <c r="M85" i="3"/>
  <c r="M84" i="3"/>
  <c r="L83" i="3"/>
  <c r="K83" i="3"/>
  <c r="K82" i="3" s="1"/>
  <c r="J83" i="3"/>
  <c r="I83" i="3"/>
  <c r="H83" i="3"/>
  <c r="G83" i="3"/>
  <c r="G82" i="3" s="1"/>
  <c r="F83" i="3"/>
  <c r="E83" i="3"/>
  <c r="L82" i="3"/>
  <c r="M81" i="3"/>
  <c r="L80" i="3"/>
  <c r="K80" i="3"/>
  <c r="J80" i="3"/>
  <c r="I80" i="3"/>
  <c r="H80" i="3"/>
  <c r="G80" i="3"/>
  <c r="F80" i="3"/>
  <c r="E80" i="3"/>
  <c r="L79" i="3"/>
  <c r="K79" i="3"/>
  <c r="K78" i="3" s="1"/>
  <c r="J79" i="3"/>
  <c r="J78" i="3" s="1"/>
  <c r="I79" i="3"/>
  <c r="H79" i="3"/>
  <c r="G79" i="3"/>
  <c r="G78" i="3" s="1"/>
  <c r="F79" i="3"/>
  <c r="F78" i="3" s="1"/>
  <c r="E79" i="3"/>
  <c r="E78" i="3" s="1"/>
  <c r="M78" i="3" s="1"/>
  <c r="L78" i="3"/>
  <c r="I78" i="3"/>
  <c r="H78" i="3"/>
  <c r="L77" i="3"/>
  <c r="K77" i="3"/>
  <c r="K76" i="3" s="1"/>
  <c r="I77" i="3"/>
  <c r="I76" i="3" s="1"/>
  <c r="H77" i="3"/>
  <c r="G77" i="3"/>
  <c r="E77" i="3"/>
  <c r="E76" i="3" s="1"/>
  <c r="L76" i="3"/>
  <c r="H76" i="3"/>
  <c r="G76" i="3"/>
  <c r="M75" i="3"/>
  <c r="L74" i="3"/>
  <c r="K74" i="3"/>
  <c r="J74" i="3"/>
  <c r="I74" i="3"/>
  <c r="H74" i="3"/>
  <c r="G74" i="3"/>
  <c r="F74" i="3"/>
  <c r="E74" i="3"/>
  <c r="L73" i="3"/>
  <c r="K73" i="3"/>
  <c r="J73" i="3"/>
  <c r="I73" i="3"/>
  <c r="I72" i="3" s="1"/>
  <c r="H73" i="3"/>
  <c r="H72" i="3" s="1"/>
  <c r="G73" i="3"/>
  <c r="G72" i="3" s="1"/>
  <c r="F73" i="3"/>
  <c r="F72" i="3" s="1"/>
  <c r="E73" i="3"/>
  <c r="E72" i="3" s="1"/>
  <c r="L72" i="3"/>
  <c r="K72" i="3"/>
  <c r="J72" i="3"/>
  <c r="L71" i="3"/>
  <c r="K71" i="3"/>
  <c r="K70" i="3" s="1"/>
  <c r="J71" i="3"/>
  <c r="J70" i="3" s="1"/>
  <c r="I71" i="3"/>
  <c r="H71" i="3"/>
  <c r="H70" i="3" s="1"/>
  <c r="G71" i="3"/>
  <c r="G70" i="3" s="1"/>
  <c r="F71" i="3"/>
  <c r="F70" i="3" s="1"/>
  <c r="E71" i="3"/>
  <c r="E70" i="3" s="1"/>
  <c r="L70" i="3"/>
  <c r="I70" i="3"/>
  <c r="L69" i="3"/>
  <c r="J69" i="3"/>
  <c r="J68" i="3" s="1"/>
  <c r="I69" i="3"/>
  <c r="I68" i="3" s="1"/>
  <c r="H69" i="3"/>
  <c r="H68" i="3" s="1"/>
  <c r="E69" i="3"/>
  <c r="E68" i="3" s="1"/>
  <c r="L68" i="3"/>
  <c r="L49" i="3" s="1"/>
  <c r="G68" i="3"/>
  <c r="M67" i="3"/>
  <c r="M66" i="3"/>
  <c r="M65" i="3"/>
  <c r="M64" i="3"/>
  <c r="M63" i="3"/>
  <c r="M62" i="3"/>
  <c r="M61" i="3"/>
  <c r="M60" i="3"/>
  <c r="M59" i="3"/>
  <c r="M58" i="3"/>
  <c r="M57" i="3"/>
  <c r="M56" i="3"/>
  <c r="M55" i="3"/>
  <c r="M54" i="3"/>
  <c r="M53" i="3"/>
  <c r="M52" i="3"/>
  <c r="M51" i="3"/>
  <c r="M48" i="3"/>
  <c r="M47" i="3"/>
  <c r="M46" i="3"/>
  <c r="M45" i="3"/>
  <c r="L44" i="3"/>
  <c r="K44" i="3"/>
  <c r="J44" i="3"/>
  <c r="I44" i="3"/>
  <c r="H44" i="3"/>
  <c r="G44" i="3"/>
  <c r="F44" i="3"/>
  <c r="E44" i="3"/>
  <c r="M43" i="3"/>
  <c r="L42" i="3"/>
  <c r="K42" i="3"/>
  <c r="J42" i="3"/>
  <c r="I42" i="3"/>
  <c r="H42" i="3"/>
  <c r="G42" i="3"/>
  <c r="F42" i="3"/>
  <c r="E42" i="3"/>
  <c r="M41" i="3"/>
  <c r="M40" i="3"/>
  <c r="L39" i="3"/>
  <c r="K39" i="3"/>
  <c r="J39" i="3"/>
  <c r="I39" i="3"/>
  <c r="H39" i="3"/>
  <c r="G39" i="3"/>
  <c r="F39" i="3"/>
  <c r="E39" i="3"/>
  <c r="M38" i="3"/>
  <c r="M37" i="3"/>
  <c r="M36" i="3"/>
  <c r="M35" i="3"/>
  <c r="M34" i="3"/>
  <c r="M33" i="3"/>
  <c r="M32" i="3"/>
  <c r="L31" i="3"/>
  <c r="K31" i="3"/>
  <c r="J31" i="3"/>
  <c r="J30" i="3" s="1"/>
  <c r="I31" i="3"/>
  <c r="H31" i="3"/>
  <c r="G31" i="3"/>
  <c r="F31" i="3"/>
  <c r="F30" i="3" s="1"/>
  <c r="E31" i="3"/>
  <c r="M29" i="3"/>
  <c r="M28" i="3"/>
  <c r="L27" i="3"/>
  <c r="K27" i="3"/>
  <c r="I27" i="3"/>
  <c r="H27" i="3"/>
  <c r="G27" i="3"/>
  <c r="E27" i="3"/>
  <c r="L26" i="3"/>
  <c r="L25" i="3" s="1"/>
  <c r="K26" i="3"/>
  <c r="J26" i="3"/>
  <c r="I26" i="3"/>
  <c r="H26" i="3"/>
  <c r="H25" i="3" s="1"/>
  <c r="G26" i="3"/>
  <c r="F26" i="3"/>
  <c r="E26" i="3"/>
  <c r="K25" i="3"/>
  <c r="J25" i="3"/>
  <c r="I25" i="3"/>
  <c r="G25" i="3"/>
  <c r="F25" i="3"/>
  <c r="E25" i="3"/>
  <c r="L24" i="3"/>
  <c r="L23" i="3" s="1"/>
  <c r="K24" i="3"/>
  <c r="J24" i="3"/>
  <c r="I24" i="3"/>
  <c r="H24" i="3"/>
  <c r="H23" i="3" s="1"/>
  <c r="G24" i="3"/>
  <c r="F24" i="3"/>
  <c r="E24" i="3"/>
  <c r="K23" i="3"/>
  <c r="J23" i="3"/>
  <c r="I23" i="3"/>
  <c r="G23" i="3"/>
  <c r="F23" i="3"/>
  <c r="E23" i="3"/>
  <c r="L22" i="3"/>
  <c r="K22" i="3"/>
  <c r="J22" i="3"/>
  <c r="I22" i="3"/>
  <c r="H22" i="3"/>
  <c r="G22" i="3"/>
  <c r="F22" i="3"/>
  <c r="E22" i="3"/>
  <c r="L21" i="3"/>
  <c r="K21" i="3"/>
  <c r="J21" i="3"/>
  <c r="I21" i="3"/>
  <c r="H21" i="3"/>
  <c r="H20" i="3" s="1"/>
  <c r="G21" i="3"/>
  <c r="F21" i="3"/>
  <c r="E21" i="3"/>
  <c r="L20" i="3"/>
  <c r="K20" i="3"/>
  <c r="J20" i="3"/>
  <c r="I20" i="3"/>
  <c r="G20" i="3"/>
  <c r="F20" i="3"/>
  <c r="E20" i="3"/>
  <c r="L19" i="3"/>
  <c r="L18" i="3" s="1"/>
  <c r="K19" i="3"/>
  <c r="J19" i="3"/>
  <c r="I19" i="3"/>
  <c r="H19" i="3"/>
  <c r="H18" i="3" s="1"/>
  <c r="G19" i="3"/>
  <c r="F19" i="3"/>
  <c r="F18" i="3" s="1"/>
  <c r="E19" i="3"/>
  <c r="K18" i="3"/>
  <c r="J18" i="3"/>
  <c r="I18" i="3"/>
  <c r="G18" i="3"/>
  <c r="M17" i="3"/>
  <c r="M16" i="3"/>
  <c r="M15" i="3"/>
  <c r="L14" i="3"/>
  <c r="K14" i="3"/>
  <c r="J14" i="3"/>
  <c r="I14" i="3"/>
  <c r="H14" i="3"/>
  <c r="G14" i="3"/>
  <c r="F14" i="3"/>
  <c r="E14" i="3"/>
  <c r="L13" i="3"/>
  <c r="L12" i="3" s="1"/>
  <c r="K13" i="3"/>
  <c r="K12" i="3" s="1"/>
  <c r="J13" i="3"/>
  <c r="J12" i="3" s="1"/>
  <c r="I13" i="3"/>
  <c r="I12" i="3" s="1"/>
  <c r="H13" i="3"/>
  <c r="H12" i="3" s="1"/>
  <c r="M12" i="3" s="1"/>
  <c r="G13" i="3"/>
  <c r="G12" i="3" s="1"/>
  <c r="F13" i="3"/>
  <c r="F12" i="3" s="1"/>
  <c r="E13" i="3"/>
  <c r="E12" i="3" s="1"/>
  <c r="L11" i="3"/>
  <c r="K11" i="3"/>
  <c r="I11" i="3"/>
  <c r="I10" i="3" s="1"/>
  <c r="I8" i="3" s="1"/>
  <c r="H11" i="3"/>
  <c r="G11" i="3"/>
  <c r="E11" i="3"/>
  <c r="L10" i="3"/>
  <c r="L8" i="3" s="1"/>
  <c r="K10" i="3"/>
  <c r="H10" i="3"/>
  <c r="H8" i="3" s="1"/>
  <c r="G10" i="3"/>
  <c r="G8" i="3" s="1"/>
  <c r="E9" i="3"/>
  <c r="M9" i="3" s="1"/>
  <c r="K8" i="3"/>
  <c r="M7" i="3"/>
  <c r="M6" i="3"/>
  <c r="L5" i="3"/>
  <c r="K5" i="3"/>
  <c r="J5" i="3"/>
  <c r="I5" i="3"/>
  <c r="H5" i="3"/>
  <c r="G5" i="3"/>
  <c r="F5" i="3"/>
  <c r="E5" i="3"/>
  <c r="Y105" i="1"/>
  <c r="Y104" i="1"/>
  <c r="Y103" i="1"/>
  <c r="Y102" i="1"/>
  <c r="Y101" i="1"/>
  <c r="Y100" i="1"/>
  <c r="Y99" i="1"/>
  <c r="X98" i="1"/>
  <c r="W98" i="1"/>
  <c r="V98" i="1"/>
  <c r="U98" i="1"/>
  <c r="T98" i="1"/>
  <c r="S98" i="1"/>
  <c r="R98" i="1"/>
  <c r="Q98" i="1"/>
  <c r="P98" i="1"/>
  <c r="O98" i="1"/>
  <c r="N98" i="1"/>
  <c r="M98" i="1"/>
  <c r="L98" i="1"/>
  <c r="K98" i="1"/>
  <c r="J98" i="1"/>
  <c r="I98" i="1"/>
  <c r="H98" i="1"/>
  <c r="G98" i="1"/>
  <c r="F98" i="1"/>
  <c r="E98" i="1"/>
  <c r="Y97" i="1"/>
  <c r="Y96" i="1"/>
  <c r="Y95" i="1"/>
  <c r="Y94" i="1"/>
  <c r="X93" i="1"/>
  <c r="X27" i="1" s="1"/>
  <c r="W93" i="1"/>
  <c r="W27" i="1" s="1"/>
  <c r="V93" i="1"/>
  <c r="U93" i="1"/>
  <c r="U27" i="1" s="1"/>
  <c r="T93" i="1"/>
  <c r="T69" i="1" s="1"/>
  <c r="T68" i="1" s="1"/>
  <c r="S93" i="1"/>
  <c r="S27" i="1" s="1"/>
  <c r="R93" i="1"/>
  <c r="Q93" i="1"/>
  <c r="Q77" i="1" s="1"/>
  <c r="Q76" i="1" s="1"/>
  <c r="P93" i="1"/>
  <c r="P69" i="1" s="1"/>
  <c r="P68" i="1" s="1"/>
  <c r="O93" i="1"/>
  <c r="O27" i="1" s="1"/>
  <c r="N93" i="1"/>
  <c r="M93" i="1"/>
  <c r="M77" i="1" s="1"/>
  <c r="M76" i="1" s="1"/>
  <c r="L93" i="1"/>
  <c r="L69" i="1" s="1"/>
  <c r="L68" i="1" s="1"/>
  <c r="K93" i="1"/>
  <c r="K27" i="1" s="1"/>
  <c r="J93" i="1"/>
  <c r="I93" i="1"/>
  <c r="I77" i="1" s="1"/>
  <c r="I76" i="1" s="1"/>
  <c r="H93" i="1"/>
  <c r="H27" i="1" s="1"/>
  <c r="G93" i="1"/>
  <c r="G27" i="1" s="1"/>
  <c r="F93" i="1"/>
  <c r="E93" i="1"/>
  <c r="E27" i="1" s="1"/>
  <c r="Y92" i="1"/>
  <c r="Y91" i="1"/>
  <c r="X90" i="1"/>
  <c r="W90" i="1"/>
  <c r="V90" i="1"/>
  <c r="U90" i="1"/>
  <c r="T90" i="1"/>
  <c r="S90" i="1"/>
  <c r="R90" i="1"/>
  <c r="Q90" i="1"/>
  <c r="P90" i="1"/>
  <c r="O90" i="1"/>
  <c r="N90" i="1"/>
  <c r="M90" i="1"/>
  <c r="L90" i="1"/>
  <c r="K90" i="1"/>
  <c r="J90" i="1"/>
  <c r="I90" i="1"/>
  <c r="H90" i="1"/>
  <c r="G90" i="1"/>
  <c r="F90" i="1"/>
  <c r="E90" i="1"/>
  <c r="Y89" i="1"/>
  <c r="X88" i="1"/>
  <c r="W88" i="1"/>
  <c r="V88" i="1"/>
  <c r="U88" i="1"/>
  <c r="T88" i="1"/>
  <c r="S88" i="1"/>
  <c r="R88" i="1"/>
  <c r="Q88" i="1"/>
  <c r="P88" i="1"/>
  <c r="O88" i="1"/>
  <c r="N88" i="1"/>
  <c r="M88" i="1"/>
  <c r="L88" i="1"/>
  <c r="K88" i="1"/>
  <c r="J88" i="1"/>
  <c r="I88" i="1"/>
  <c r="H88" i="1"/>
  <c r="G88" i="1"/>
  <c r="F88" i="1"/>
  <c r="E88" i="1"/>
  <c r="X87" i="1"/>
  <c r="X86" i="1" s="1"/>
  <c r="W87" i="1"/>
  <c r="V87" i="1"/>
  <c r="V86" i="1" s="1"/>
  <c r="U87" i="1"/>
  <c r="U86" i="1" s="1"/>
  <c r="T87" i="1"/>
  <c r="T86" i="1" s="1"/>
  <c r="S87" i="1"/>
  <c r="R87" i="1"/>
  <c r="R86" i="1" s="1"/>
  <c r="Q87" i="1"/>
  <c r="Q86" i="1" s="1"/>
  <c r="P87" i="1"/>
  <c r="P86" i="1" s="1"/>
  <c r="O87" i="1"/>
  <c r="N87" i="1"/>
  <c r="N86" i="1" s="1"/>
  <c r="M87" i="1"/>
  <c r="M86" i="1" s="1"/>
  <c r="L87" i="1"/>
  <c r="L86" i="1" s="1"/>
  <c r="K87" i="1"/>
  <c r="J87" i="1"/>
  <c r="I87" i="1"/>
  <c r="I86" i="1" s="1"/>
  <c r="H87" i="1"/>
  <c r="H86" i="1" s="1"/>
  <c r="G87" i="1"/>
  <c r="G86" i="1" s="1"/>
  <c r="F87" i="1"/>
  <c r="F86" i="1" s="1"/>
  <c r="E87" i="1"/>
  <c r="J86" i="1"/>
  <c r="Y85" i="1"/>
  <c r="Y84" i="1"/>
  <c r="X83" i="1"/>
  <c r="W83" i="1"/>
  <c r="V83" i="1"/>
  <c r="U83" i="1"/>
  <c r="T83" i="1"/>
  <c r="S83" i="1"/>
  <c r="R83" i="1"/>
  <c r="Q83" i="1"/>
  <c r="P83" i="1"/>
  <c r="O83" i="1"/>
  <c r="N83" i="1"/>
  <c r="M83" i="1"/>
  <c r="L83" i="1"/>
  <c r="K83" i="1"/>
  <c r="J83" i="1"/>
  <c r="J82" i="1" s="1"/>
  <c r="I83" i="1"/>
  <c r="H83" i="1"/>
  <c r="G83" i="1"/>
  <c r="F83" i="1"/>
  <c r="E83" i="1"/>
  <c r="Y81" i="1"/>
  <c r="X80" i="1"/>
  <c r="W80" i="1"/>
  <c r="V80" i="1"/>
  <c r="U80" i="1"/>
  <c r="T80" i="1"/>
  <c r="S80" i="1"/>
  <c r="R80" i="1"/>
  <c r="Q80" i="1"/>
  <c r="P80" i="1"/>
  <c r="O80" i="1"/>
  <c r="N80" i="1"/>
  <c r="M80" i="1"/>
  <c r="L80" i="1"/>
  <c r="K80" i="1"/>
  <c r="J80" i="1"/>
  <c r="I80" i="1"/>
  <c r="H80" i="1"/>
  <c r="G80" i="1"/>
  <c r="F80" i="1"/>
  <c r="E80" i="1"/>
  <c r="W79" i="1"/>
  <c r="W78" i="1" s="1"/>
  <c r="V79" i="1"/>
  <c r="U79" i="1"/>
  <c r="U78" i="1" s="1"/>
  <c r="Q79" i="1"/>
  <c r="Q78" i="1" s="1"/>
  <c r="P79" i="1"/>
  <c r="P78" i="1" s="1"/>
  <c r="O79" i="1"/>
  <c r="V78" i="1"/>
  <c r="O78" i="1"/>
  <c r="W77" i="1"/>
  <c r="W76" i="1" s="1"/>
  <c r="V77" i="1"/>
  <c r="U77" i="1"/>
  <c r="U76" i="1" s="1"/>
  <c r="S77" i="1"/>
  <c r="S76" i="1" s="1"/>
  <c r="R77" i="1"/>
  <c r="O77" i="1"/>
  <c r="O76" i="1" s="1"/>
  <c r="N77" i="1"/>
  <c r="K77" i="1"/>
  <c r="K76" i="1" s="1"/>
  <c r="J77" i="1"/>
  <c r="J76" i="1" s="1"/>
  <c r="G77" i="1"/>
  <c r="G76" i="1" s="1"/>
  <c r="F77" i="1"/>
  <c r="E77" i="1"/>
  <c r="E76" i="1" s="1"/>
  <c r="V76" i="1"/>
  <c r="R76" i="1"/>
  <c r="N76" i="1"/>
  <c r="F76" i="1"/>
  <c r="Y75" i="1"/>
  <c r="X74" i="1"/>
  <c r="W74" i="1"/>
  <c r="V74" i="1"/>
  <c r="U74" i="1"/>
  <c r="T74" i="1"/>
  <c r="S74" i="1"/>
  <c r="R74" i="1"/>
  <c r="Q74" i="1"/>
  <c r="P74" i="1"/>
  <c r="O74" i="1"/>
  <c r="N74" i="1"/>
  <c r="M74" i="1"/>
  <c r="L74" i="1"/>
  <c r="K74" i="1"/>
  <c r="J74" i="1"/>
  <c r="I74" i="1"/>
  <c r="H74" i="1"/>
  <c r="G74" i="1"/>
  <c r="F74" i="1"/>
  <c r="E74" i="1"/>
  <c r="X73" i="1"/>
  <c r="W73" i="1"/>
  <c r="W72" i="1" s="1"/>
  <c r="V73" i="1"/>
  <c r="U73" i="1"/>
  <c r="U72" i="1" s="1"/>
  <c r="T73" i="1"/>
  <c r="T72" i="1" s="1"/>
  <c r="S73" i="1"/>
  <c r="S72" i="1" s="1"/>
  <c r="R73" i="1"/>
  <c r="Q73" i="1"/>
  <c r="P73" i="1"/>
  <c r="P72" i="1" s="1"/>
  <c r="O73" i="1"/>
  <c r="O72" i="1" s="1"/>
  <c r="N73" i="1"/>
  <c r="M73" i="1"/>
  <c r="L73" i="1"/>
  <c r="L72" i="1" s="1"/>
  <c r="K73" i="1"/>
  <c r="K72" i="1" s="1"/>
  <c r="J73" i="1"/>
  <c r="I73" i="1"/>
  <c r="H73" i="1"/>
  <c r="G73" i="1"/>
  <c r="G72" i="1" s="1"/>
  <c r="F73" i="1"/>
  <c r="E73" i="1"/>
  <c r="E72" i="1" s="1"/>
  <c r="X72" i="1"/>
  <c r="V72" i="1"/>
  <c r="R72" i="1"/>
  <c r="Q72" i="1"/>
  <c r="N72" i="1"/>
  <c r="M72" i="1"/>
  <c r="J72" i="1"/>
  <c r="I72" i="1"/>
  <c r="H72" i="1"/>
  <c r="F72" i="1"/>
  <c r="X71" i="1"/>
  <c r="W71" i="1"/>
  <c r="V71" i="1"/>
  <c r="U71" i="1"/>
  <c r="U70" i="1" s="1"/>
  <c r="T71" i="1"/>
  <c r="S71" i="1"/>
  <c r="S70" i="1" s="1"/>
  <c r="R71" i="1"/>
  <c r="R70" i="1" s="1"/>
  <c r="Q71" i="1"/>
  <c r="Q70" i="1" s="1"/>
  <c r="P71" i="1"/>
  <c r="O71" i="1"/>
  <c r="O70" i="1" s="1"/>
  <c r="N71" i="1"/>
  <c r="N70" i="1" s="1"/>
  <c r="M71" i="1"/>
  <c r="M70" i="1" s="1"/>
  <c r="L71" i="1"/>
  <c r="L70" i="1" s="1"/>
  <c r="K71" i="1"/>
  <c r="K70" i="1" s="1"/>
  <c r="J71" i="1"/>
  <c r="J70" i="1" s="1"/>
  <c r="I71" i="1"/>
  <c r="I70" i="1" s="1"/>
  <c r="H71" i="1"/>
  <c r="G71" i="1"/>
  <c r="G70" i="1" s="1"/>
  <c r="F71" i="1"/>
  <c r="F70" i="1" s="1"/>
  <c r="E71" i="1"/>
  <c r="X70" i="1"/>
  <c r="W70" i="1"/>
  <c r="V70" i="1"/>
  <c r="T70" i="1"/>
  <c r="P70" i="1"/>
  <c r="H70" i="1"/>
  <c r="W69" i="1"/>
  <c r="W68" i="1" s="1"/>
  <c r="V69" i="1"/>
  <c r="U69" i="1"/>
  <c r="U68" i="1" s="1"/>
  <c r="S69" i="1"/>
  <c r="S68" i="1" s="1"/>
  <c r="R69" i="1"/>
  <c r="O69" i="1"/>
  <c r="O68" i="1" s="1"/>
  <c r="N69" i="1"/>
  <c r="N68" i="1" s="1"/>
  <c r="K69" i="1"/>
  <c r="K68" i="1" s="1"/>
  <c r="J69" i="1"/>
  <c r="J68" i="1" s="1"/>
  <c r="G69" i="1"/>
  <c r="G68" i="1" s="1"/>
  <c r="F69" i="1"/>
  <c r="E69" i="1"/>
  <c r="E68" i="1" s="1"/>
  <c r="V68" i="1"/>
  <c r="R68" i="1"/>
  <c r="F68" i="1"/>
  <c r="Y67" i="1"/>
  <c r="Y66" i="1"/>
  <c r="Y65" i="1"/>
  <c r="Y64" i="1"/>
  <c r="Y63" i="1"/>
  <c r="Y62" i="1"/>
  <c r="Y61" i="1"/>
  <c r="Y60" i="1"/>
  <c r="Y59" i="1"/>
  <c r="Y58" i="1"/>
  <c r="Y57" i="1"/>
  <c r="Y56" i="1"/>
  <c r="Y55" i="1"/>
  <c r="Y54" i="1"/>
  <c r="Y53" i="1"/>
  <c r="Y52" i="1"/>
  <c r="Y51" i="1"/>
  <c r="Y50" i="1"/>
  <c r="Y48" i="1"/>
  <c r="Y47" i="1"/>
  <c r="Y46" i="1"/>
  <c r="Y45" i="1"/>
  <c r="X44" i="1"/>
  <c r="W44" i="1"/>
  <c r="V44" i="1"/>
  <c r="U44" i="1"/>
  <c r="T44" i="1"/>
  <c r="S44" i="1"/>
  <c r="R44" i="1"/>
  <c r="Q44" i="1"/>
  <c r="P44" i="1"/>
  <c r="O44" i="1"/>
  <c r="N44" i="1"/>
  <c r="M44" i="1"/>
  <c r="L44" i="1"/>
  <c r="K44" i="1"/>
  <c r="J44" i="1"/>
  <c r="I44" i="1"/>
  <c r="H44" i="1"/>
  <c r="G44" i="1"/>
  <c r="F44" i="1"/>
  <c r="E44" i="1"/>
  <c r="N43" i="1"/>
  <c r="N42" i="1" s="1"/>
  <c r="M43" i="1"/>
  <c r="M42" i="1" s="1"/>
  <c r="L43" i="1"/>
  <c r="L42" i="1" s="1"/>
  <c r="K43" i="1"/>
  <c r="K42" i="1" s="1"/>
  <c r="J43" i="1"/>
  <c r="I43" i="1"/>
  <c r="H43" i="1"/>
  <c r="H42" i="1" s="1"/>
  <c r="G43" i="1"/>
  <c r="G42" i="1" s="1"/>
  <c r="X42" i="1"/>
  <c r="W42" i="1"/>
  <c r="V42" i="1"/>
  <c r="U42" i="1"/>
  <c r="T42" i="1"/>
  <c r="S42" i="1"/>
  <c r="R42" i="1"/>
  <c r="Q42" i="1"/>
  <c r="P42" i="1"/>
  <c r="O42" i="1"/>
  <c r="J42" i="1"/>
  <c r="I42" i="1"/>
  <c r="F42" i="1"/>
  <c r="E42" i="1"/>
  <c r="Y41" i="1"/>
  <c r="Y40" i="1"/>
  <c r="X39" i="1"/>
  <c r="W39" i="1"/>
  <c r="V39" i="1"/>
  <c r="U39" i="1"/>
  <c r="T39" i="1"/>
  <c r="S39" i="1"/>
  <c r="R39" i="1"/>
  <c r="Q39" i="1"/>
  <c r="P39" i="1"/>
  <c r="O39" i="1"/>
  <c r="N39" i="1"/>
  <c r="M39" i="1"/>
  <c r="L39" i="1"/>
  <c r="K39" i="1"/>
  <c r="J39" i="1"/>
  <c r="I39" i="1"/>
  <c r="H39" i="1"/>
  <c r="G39" i="1"/>
  <c r="F39" i="1"/>
  <c r="E39" i="1"/>
  <c r="Y38" i="1"/>
  <c r="Y37" i="1"/>
  <c r="Y36" i="1"/>
  <c r="Y35" i="1"/>
  <c r="Y34" i="1"/>
  <c r="Y33" i="1"/>
  <c r="Y32" i="1"/>
  <c r="X31" i="1"/>
  <c r="W31" i="1"/>
  <c r="V31" i="1"/>
  <c r="U31" i="1"/>
  <c r="U30" i="1" s="1"/>
  <c r="T31" i="1"/>
  <c r="S31" i="1"/>
  <c r="S30" i="1" s="1"/>
  <c r="R31" i="1"/>
  <c r="Q31" i="1"/>
  <c r="Q30" i="1" s="1"/>
  <c r="P31" i="1"/>
  <c r="O31" i="1"/>
  <c r="O30" i="1" s="1"/>
  <c r="N31" i="1"/>
  <c r="M31" i="1"/>
  <c r="L31" i="1"/>
  <c r="K31" i="1"/>
  <c r="K30" i="1" s="1"/>
  <c r="J31" i="1"/>
  <c r="I31" i="1"/>
  <c r="I30" i="1" s="1"/>
  <c r="H31" i="1"/>
  <c r="G31" i="1"/>
  <c r="G30" i="1" s="1"/>
  <c r="F31" i="1"/>
  <c r="E31" i="1"/>
  <c r="E30" i="1" s="1"/>
  <c r="Y29" i="1"/>
  <c r="X28" i="1"/>
  <c r="X79" i="1" s="1"/>
  <c r="X78" i="1" s="1"/>
  <c r="T28" i="1"/>
  <c r="T79" i="1" s="1"/>
  <c r="T78" i="1" s="1"/>
  <c r="S28" i="1"/>
  <c r="S26" i="1" s="1"/>
  <c r="S25" i="1" s="1"/>
  <c r="R28" i="1"/>
  <c r="R79" i="1" s="1"/>
  <c r="R78" i="1" s="1"/>
  <c r="N28" i="1"/>
  <c r="N79" i="1" s="1"/>
  <c r="N78" i="1" s="1"/>
  <c r="M28" i="1"/>
  <c r="M79" i="1" s="1"/>
  <c r="M78" i="1" s="1"/>
  <c r="L28" i="1"/>
  <c r="L21" i="1" s="1"/>
  <c r="K28" i="1"/>
  <c r="K79" i="1" s="1"/>
  <c r="K78" i="1" s="1"/>
  <c r="J28" i="1"/>
  <c r="J79" i="1" s="1"/>
  <c r="J78" i="1" s="1"/>
  <c r="I28" i="1"/>
  <c r="I79" i="1" s="1"/>
  <c r="I78" i="1" s="1"/>
  <c r="H28" i="1"/>
  <c r="H21" i="1" s="1"/>
  <c r="G28" i="1"/>
  <c r="G79" i="1" s="1"/>
  <c r="G78" i="1" s="1"/>
  <c r="F28" i="1"/>
  <c r="F79" i="1" s="1"/>
  <c r="F78" i="1" s="1"/>
  <c r="E28" i="1"/>
  <c r="V27" i="1"/>
  <c r="R27" i="1"/>
  <c r="P27" i="1"/>
  <c r="N27" i="1"/>
  <c r="J27" i="1"/>
  <c r="I27" i="1"/>
  <c r="F27" i="1"/>
  <c r="W26" i="1"/>
  <c r="V26" i="1"/>
  <c r="V25" i="1" s="1"/>
  <c r="U26" i="1"/>
  <c r="U25" i="1" s="1"/>
  <c r="T26" i="1"/>
  <c r="T25" i="1" s="1"/>
  <c r="Q26" i="1"/>
  <c r="P26" i="1"/>
  <c r="P25" i="1" s="1"/>
  <c r="O26" i="1"/>
  <c r="O25" i="1" s="1"/>
  <c r="M26" i="1"/>
  <c r="M25" i="1" s="1"/>
  <c r="K26" i="1"/>
  <c r="K25" i="1" s="1"/>
  <c r="I26" i="1"/>
  <c r="G26" i="1"/>
  <c r="G25" i="1" s="1"/>
  <c r="F26" i="1"/>
  <c r="F25" i="1" s="1"/>
  <c r="E26" i="1"/>
  <c r="E25" i="1" s="1"/>
  <c r="W25" i="1"/>
  <c r="Q25" i="1"/>
  <c r="I25" i="1"/>
  <c r="W24" i="1"/>
  <c r="V24" i="1"/>
  <c r="V23" i="1" s="1"/>
  <c r="U24" i="1"/>
  <c r="U23" i="1" s="1"/>
  <c r="T24" i="1"/>
  <c r="T23" i="1" s="1"/>
  <c r="R24" i="1"/>
  <c r="Q24" i="1"/>
  <c r="Q23" i="1" s="1"/>
  <c r="P24" i="1"/>
  <c r="P23" i="1" s="1"/>
  <c r="O24" i="1"/>
  <c r="M24" i="1"/>
  <c r="L24" i="1"/>
  <c r="L23" i="1" s="1"/>
  <c r="K24" i="1"/>
  <c r="K23" i="1" s="1"/>
  <c r="I24" i="1"/>
  <c r="I23" i="1" s="1"/>
  <c r="G24" i="1"/>
  <c r="G23" i="1" s="1"/>
  <c r="E24" i="1"/>
  <c r="E23" i="1" s="1"/>
  <c r="W23" i="1"/>
  <c r="R23" i="1"/>
  <c r="O23" i="1"/>
  <c r="M23" i="1"/>
  <c r="W22" i="1"/>
  <c r="V22" i="1"/>
  <c r="U22" i="1"/>
  <c r="T22" i="1"/>
  <c r="R22" i="1"/>
  <c r="Q22" i="1"/>
  <c r="P22" i="1"/>
  <c r="O22" i="1"/>
  <c r="N22" i="1"/>
  <c r="M22" i="1"/>
  <c r="K22" i="1"/>
  <c r="I22" i="1"/>
  <c r="G22" i="1"/>
  <c r="E22" i="1"/>
  <c r="X21" i="1"/>
  <c r="W21" i="1"/>
  <c r="V21" i="1"/>
  <c r="U21" i="1"/>
  <c r="U20" i="1" s="1"/>
  <c r="T21" i="1"/>
  <c r="T20" i="1" s="1"/>
  <c r="R21" i="1"/>
  <c r="Q21" i="1"/>
  <c r="P21" i="1"/>
  <c r="P20" i="1" s="1"/>
  <c r="O21" i="1"/>
  <c r="O20" i="1" s="1"/>
  <c r="M21" i="1"/>
  <c r="M20" i="1" s="1"/>
  <c r="K21" i="1"/>
  <c r="K20" i="1" s="1"/>
  <c r="I21" i="1"/>
  <c r="G21" i="1"/>
  <c r="F21" i="1"/>
  <c r="E21" i="1"/>
  <c r="E20" i="1" s="1"/>
  <c r="Q20" i="1"/>
  <c r="I20" i="1"/>
  <c r="W19" i="1"/>
  <c r="W18" i="1" s="1"/>
  <c r="V19" i="1"/>
  <c r="V18" i="1" s="1"/>
  <c r="U19" i="1"/>
  <c r="U18" i="1" s="1"/>
  <c r="T19" i="1"/>
  <c r="R19" i="1"/>
  <c r="R18" i="1" s="1"/>
  <c r="Q19" i="1"/>
  <c r="Q18" i="1" s="1"/>
  <c r="P19" i="1"/>
  <c r="O19" i="1"/>
  <c r="M19" i="1"/>
  <c r="M18" i="1" s="1"/>
  <c r="K19" i="1"/>
  <c r="K18" i="1" s="1"/>
  <c r="I19" i="1"/>
  <c r="I18" i="1" s="1"/>
  <c r="G19" i="1"/>
  <c r="G18" i="1" s="1"/>
  <c r="E19" i="1"/>
  <c r="T18" i="1"/>
  <c r="P18" i="1"/>
  <c r="O18" i="1"/>
  <c r="Q17" i="1"/>
  <c r="Y15" i="1"/>
  <c r="W14" i="1"/>
  <c r="V14" i="1"/>
  <c r="U14" i="1"/>
  <c r="T14" i="1"/>
  <c r="S14" i="1"/>
  <c r="R14" i="1"/>
  <c r="Q14" i="1"/>
  <c r="P14" i="1"/>
  <c r="O14" i="1"/>
  <c r="N14" i="1"/>
  <c r="M14" i="1"/>
  <c r="K14" i="1"/>
  <c r="I14" i="1"/>
  <c r="G14" i="1"/>
  <c r="E14" i="1"/>
  <c r="X13" i="1"/>
  <c r="W13" i="1"/>
  <c r="W12" i="1" s="1"/>
  <c r="V13" i="1"/>
  <c r="V12" i="1" s="1"/>
  <c r="U13" i="1"/>
  <c r="U12" i="1" s="1"/>
  <c r="T13" i="1"/>
  <c r="T12" i="1" s="1"/>
  <c r="R13" i="1"/>
  <c r="R12" i="1" s="1"/>
  <c r="Q13" i="1"/>
  <c r="Q12" i="1" s="1"/>
  <c r="P13" i="1"/>
  <c r="P12" i="1" s="1"/>
  <c r="O13" i="1"/>
  <c r="M13" i="1"/>
  <c r="M12" i="1" s="1"/>
  <c r="K13" i="1"/>
  <c r="K12" i="1" s="1"/>
  <c r="I13" i="1"/>
  <c r="H13" i="1"/>
  <c r="G13" i="1"/>
  <c r="G12" i="1" s="1"/>
  <c r="E13" i="1"/>
  <c r="E12" i="1" s="1"/>
  <c r="X11" i="1"/>
  <c r="W11" i="1"/>
  <c r="W10" i="1" s="1"/>
  <c r="W8" i="1" s="1"/>
  <c r="V11" i="1"/>
  <c r="T11" i="1"/>
  <c r="T10" i="1" s="1"/>
  <c r="S11" i="1"/>
  <c r="S10" i="1" s="1"/>
  <c r="R11" i="1"/>
  <c r="P11" i="1"/>
  <c r="P10" i="1" s="1"/>
  <c r="P8" i="1" s="1"/>
  <c r="O11" i="1"/>
  <c r="O10" i="1" s="1"/>
  <c r="O8" i="1" s="1"/>
  <c r="N11" i="1"/>
  <c r="N10" i="1" s="1"/>
  <c r="N8" i="1" s="1"/>
  <c r="L11" i="1"/>
  <c r="L10" i="1" s="1"/>
  <c r="K11" i="1"/>
  <c r="K10" i="1" s="1"/>
  <c r="J11" i="1"/>
  <c r="H11" i="1"/>
  <c r="G11" i="1"/>
  <c r="G10" i="1" s="1"/>
  <c r="F11" i="1"/>
  <c r="X10" i="1"/>
  <c r="V10" i="1"/>
  <c r="V8" i="1" s="1"/>
  <c r="R10" i="1"/>
  <c r="J10" i="1"/>
  <c r="H10" i="1"/>
  <c r="F10" i="1"/>
  <c r="F8" i="1" s="1"/>
  <c r="X9" i="1"/>
  <c r="T9" i="1"/>
  <c r="S9" i="1"/>
  <c r="R9" i="1"/>
  <c r="N9" i="1"/>
  <c r="M9" i="1"/>
  <c r="L9" i="1"/>
  <c r="K9" i="1"/>
  <c r="J9" i="1"/>
  <c r="J8" i="1" s="1"/>
  <c r="I9" i="1"/>
  <c r="H9" i="1"/>
  <c r="H8" i="1" s="1"/>
  <c r="G9" i="1"/>
  <c r="F9" i="1"/>
  <c r="E9" i="1"/>
  <c r="X7" i="1"/>
  <c r="T7" i="1"/>
  <c r="S7" i="1"/>
  <c r="S5" i="1" s="1"/>
  <c r="R7" i="1"/>
  <c r="N7" i="1"/>
  <c r="M7" i="1"/>
  <c r="L7" i="1"/>
  <c r="K7" i="1"/>
  <c r="J7" i="1"/>
  <c r="I7" i="1"/>
  <c r="H7" i="1"/>
  <c r="G7" i="1"/>
  <c r="F7" i="1"/>
  <c r="E7" i="1"/>
  <c r="X6" i="1"/>
  <c r="W6" i="1"/>
  <c r="V6" i="1"/>
  <c r="V5" i="1" s="1"/>
  <c r="U6" i="1"/>
  <c r="U5" i="1" s="1"/>
  <c r="T6" i="1"/>
  <c r="S6" i="1"/>
  <c r="R6" i="1"/>
  <c r="Q6" i="1"/>
  <c r="Q5" i="1" s="1"/>
  <c r="P6" i="1"/>
  <c r="P5" i="1" s="1"/>
  <c r="O6" i="1"/>
  <c r="O5" i="1" s="1"/>
  <c r="N6" i="1"/>
  <c r="M6" i="1"/>
  <c r="M5" i="1" s="1"/>
  <c r="L6" i="1"/>
  <c r="L5" i="1" s="1"/>
  <c r="K6" i="1"/>
  <c r="J6" i="1"/>
  <c r="I6" i="1"/>
  <c r="I5" i="1" s="1"/>
  <c r="H6" i="1"/>
  <c r="H5" i="1" s="1"/>
  <c r="G6" i="1"/>
  <c r="F6" i="1"/>
  <c r="E6" i="1"/>
  <c r="W5" i="1"/>
  <c r="N5" i="1"/>
  <c r="J5" i="1"/>
  <c r="F5" i="1"/>
  <c r="E5" i="1"/>
  <c r="M30" i="1" l="1"/>
  <c r="E11" i="1"/>
  <c r="I11" i="1"/>
  <c r="I10" i="1" s="1"/>
  <c r="I8" i="1" s="1"/>
  <c r="I4" i="1" s="1"/>
  <c r="I107" i="1" s="1"/>
  <c r="M11" i="1"/>
  <c r="M10" i="1" s="1"/>
  <c r="M8" i="1" s="1"/>
  <c r="Q11" i="1"/>
  <c r="Q10" i="1" s="1"/>
  <c r="Q8" i="1" s="1"/>
  <c r="U11" i="1"/>
  <c r="U10" i="1" s="1"/>
  <c r="U8" i="1" s="1"/>
  <c r="M27" i="1"/>
  <c r="W30" i="1"/>
  <c r="M69" i="1"/>
  <c r="M68" i="1" s="1"/>
  <c r="I82" i="1"/>
  <c r="M82" i="1"/>
  <c r="Q82" i="1"/>
  <c r="U82" i="1"/>
  <c r="F82" i="1"/>
  <c r="N82" i="1"/>
  <c r="R82" i="1"/>
  <c r="F27" i="3"/>
  <c r="J27" i="3"/>
  <c r="H30" i="3"/>
  <c r="L30" i="3"/>
  <c r="L13" i="1"/>
  <c r="H30" i="1"/>
  <c r="L30" i="1"/>
  <c r="P30" i="1"/>
  <c r="T30" i="1"/>
  <c r="X30" i="1"/>
  <c r="I69" i="1"/>
  <c r="I68" i="1" s="1"/>
  <c r="E30" i="3"/>
  <c r="H82" i="3"/>
  <c r="H49" i="3" s="1"/>
  <c r="M93" i="3"/>
  <c r="M98" i="3"/>
  <c r="Y6" i="1"/>
  <c r="U4" i="1"/>
  <c r="U107" i="1" s="1"/>
  <c r="X8" i="1"/>
  <c r="I12" i="1"/>
  <c r="O12" i="1"/>
  <c r="G20" i="1"/>
  <c r="S21" i="1"/>
  <c r="H24" i="1"/>
  <c r="H23" i="1" s="1"/>
  <c r="R26" i="1"/>
  <c r="R25" i="1" s="1"/>
  <c r="Q27" i="1"/>
  <c r="Q4" i="1" s="1"/>
  <c r="Q107" i="1" s="1"/>
  <c r="F30" i="1"/>
  <c r="J30" i="1"/>
  <c r="N30" i="1"/>
  <c r="R30" i="1"/>
  <c r="V30" i="1"/>
  <c r="Q69" i="1"/>
  <c r="Q68" i="1" s="1"/>
  <c r="H82" i="1"/>
  <c r="L82" i="1"/>
  <c r="P82" i="1"/>
  <c r="T82" i="1"/>
  <c r="X82" i="1"/>
  <c r="F11" i="3"/>
  <c r="F10" i="3" s="1"/>
  <c r="F8" i="3" s="1"/>
  <c r="J11" i="3"/>
  <c r="J10" i="3" s="1"/>
  <c r="J8" i="3" s="1"/>
  <c r="M19" i="3"/>
  <c r="M20" i="3"/>
  <c r="M21" i="3"/>
  <c r="G30" i="3"/>
  <c r="K30" i="3"/>
  <c r="F69" i="3"/>
  <c r="F68" i="3" s="1"/>
  <c r="M83" i="3"/>
  <c r="I82" i="3"/>
  <c r="I49" i="3" s="1"/>
  <c r="H30" i="4"/>
  <c r="L30" i="4"/>
  <c r="P30" i="4"/>
  <c r="W71" i="5"/>
  <c r="J18" i="6"/>
  <c r="F82" i="6"/>
  <c r="G12" i="7"/>
  <c r="K12" i="7"/>
  <c r="H82" i="7"/>
  <c r="Q14" i="4"/>
  <c r="F30" i="4"/>
  <c r="J30" i="4"/>
  <c r="N30" i="4"/>
  <c r="I12" i="5"/>
  <c r="M12" i="5"/>
  <c r="Q12" i="5"/>
  <c r="U12" i="5"/>
  <c r="S49" i="5"/>
  <c r="W87" i="5"/>
  <c r="I86" i="5"/>
  <c r="I82" i="5" s="1"/>
  <c r="I49" i="5" s="1"/>
  <c r="M86" i="5"/>
  <c r="M82" i="5" s="1"/>
  <c r="M49" i="5" s="1"/>
  <c r="Q86" i="5"/>
  <c r="Q82" i="5" s="1"/>
  <c r="Q49" i="5" s="1"/>
  <c r="Q3" i="5" s="1"/>
  <c r="U86" i="5"/>
  <c r="U82" i="5" s="1"/>
  <c r="U49" i="5" s="1"/>
  <c r="U3" i="5" s="1"/>
  <c r="G30" i="6"/>
  <c r="H12" i="7"/>
  <c r="F30" i="7"/>
  <c r="J30" i="7"/>
  <c r="I30" i="3"/>
  <c r="G30" i="4"/>
  <c r="K30" i="4"/>
  <c r="O30" i="4"/>
  <c r="G82" i="4"/>
  <c r="K82" i="4"/>
  <c r="O82" i="4"/>
  <c r="P82" i="4"/>
  <c r="H82" i="4"/>
  <c r="L82" i="4"/>
  <c r="F12" i="5"/>
  <c r="J12" i="5"/>
  <c r="N12" i="5"/>
  <c r="R12" i="5"/>
  <c r="V12" i="5"/>
  <c r="G20" i="5"/>
  <c r="G30" i="5"/>
  <c r="K30" i="5"/>
  <c r="O30" i="5"/>
  <c r="S30" i="5"/>
  <c r="W73" i="5"/>
  <c r="W74" i="5"/>
  <c r="L86" i="5"/>
  <c r="L82" i="5" s="1"/>
  <c r="T86" i="5"/>
  <c r="T82" i="5" s="1"/>
  <c r="W90" i="5"/>
  <c r="G12" i="6"/>
  <c r="H30" i="6"/>
  <c r="H5" i="7"/>
  <c r="G30" i="7"/>
  <c r="K30" i="7"/>
  <c r="L77" i="7"/>
  <c r="F4" i="3"/>
  <c r="F107" i="3" s="1"/>
  <c r="J4" i="3"/>
  <c r="J107" i="3" s="1"/>
  <c r="K4" i="3"/>
  <c r="K107" i="3" s="1"/>
  <c r="M80" i="3"/>
  <c r="M22" i="3"/>
  <c r="M23" i="3"/>
  <c r="G49" i="3"/>
  <c r="M87" i="3"/>
  <c r="P49" i="4"/>
  <c r="Q77" i="4"/>
  <c r="L4" i="4"/>
  <c r="Q21" i="4"/>
  <c r="Q22" i="4"/>
  <c r="Q24" i="4"/>
  <c r="Q44" i="4"/>
  <c r="Q73" i="4"/>
  <c r="Q74" i="4"/>
  <c r="K11" i="4"/>
  <c r="K10" i="4" s="1"/>
  <c r="K8" i="4" s="1"/>
  <c r="K4" i="4" s="1"/>
  <c r="K107" i="4" s="1"/>
  <c r="Q31" i="4"/>
  <c r="G69" i="4"/>
  <c r="G68" i="4" s="1"/>
  <c r="G49" i="4" s="1"/>
  <c r="K69" i="4"/>
  <c r="K68" i="4" s="1"/>
  <c r="O69" i="4"/>
  <c r="O68" i="4" s="1"/>
  <c r="O11" i="4"/>
  <c r="O10" i="4" s="1"/>
  <c r="O8" i="4" s="1"/>
  <c r="Q79" i="4"/>
  <c r="Q80" i="4"/>
  <c r="H49" i="4"/>
  <c r="L49" i="4"/>
  <c r="Q93" i="4"/>
  <c r="Q98" i="4"/>
  <c r="W26" i="5"/>
  <c r="W42" i="5"/>
  <c r="W5" i="5"/>
  <c r="W13" i="5"/>
  <c r="E12" i="5"/>
  <c r="W22" i="5"/>
  <c r="W79" i="5"/>
  <c r="X5" i="1"/>
  <c r="L8" i="1"/>
  <c r="T8" i="1"/>
  <c r="V82" i="1"/>
  <c r="R20" i="1"/>
  <c r="N49" i="1"/>
  <c r="L11" i="7"/>
  <c r="L10" i="7" s="1"/>
  <c r="F12" i="7"/>
  <c r="J12" i="7"/>
  <c r="L86" i="7"/>
  <c r="I12" i="7"/>
  <c r="H49" i="7"/>
  <c r="H8" i="7"/>
  <c r="L39" i="7"/>
  <c r="L44" i="7"/>
  <c r="F4" i="7"/>
  <c r="F107" i="7" s="1"/>
  <c r="J4" i="7"/>
  <c r="J107" i="7" s="1"/>
  <c r="L74" i="7"/>
  <c r="E76" i="7"/>
  <c r="J20" i="6"/>
  <c r="H49" i="6"/>
  <c r="H12" i="6"/>
  <c r="J25" i="6"/>
  <c r="J31" i="6"/>
  <c r="F69" i="6"/>
  <c r="F68" i="6" s="1"/>
  <c r="F77" i="6"/>
  <c r="F76" i="6" s="1"/>
  <c r="H4" i="6"/>
  <c r="G82" i="6"/>
  <c r="J13" i="6"/>
  <c r="E12" i="6"/>
  <c r="F11" i="6"/>
  <c r="F10" i="6" s="1"/>
  <c r="F8" i="6" s="1"/>
  <c r="J22" i="6"/>
  <c r="M27" i="3"/>
  <c r="I4" i="3"/>
  <c r="I107" i="3" s="1"/>
  <c r="M13" i="3"/>
  <c r="M14" i="3"/>
  <c r="M30" i="3"/>
  <c r="M31" i="3"/>
  <c r="M39" i="3"/>
  <c r="M76" i="3"/>
  <c r="L4" i="3"/>
  <c r="E18" i="3"/>
  <c r="M18" i="3" s="1"/>
  <c r="M44" i="3"/>
  <c r="M71" i="3"/>
  <c r="M5" i="3"/>
  <c r="G4" i="3"/>
  <c r="G107" i="3" s="1"/>
  <c r="M24" i="3"/>
  <c r="M25" i="3"/>
  <c r="M26" i="3"/>
  <c r="M42" i="3"/>
  <c r="M79" i="3"/>
  <c r="F86" i="3"/>
  <c r="F82" i="3" s="1"/>
  <c r="F49" i="3" s="1"/>
  <c r="J86" i="3"/>
  <c r="J82" i="3" s="1"/>
  <c r="J49" i="3" s="1"/>
  <c r="M90" i="3"/>
  <c r="M68" i="3"/>
  <c r="M70" i="3"/>
  <c r="K49" i="3"/>
  <c r="M72" i="3"/>
  <c r="M74" i="3"/>
  <c r="M88" i="3"/>
  <c r="Q42" i="4"/>
  <c r="F20" i="4"/>
  <c r="F4" i="4" s="1"/>
  <c r="F107" i="4" s="1"/>
  <c r="J20" i="4"/>
  <c r="J4" i="4" s="1"/>
  <c r="N20" i="4"/>
  <c r="N4" i="4" s="1"/>
  <c r="N107" i="4" s="1"/>
  <c r="F86" i="4"/>
  <c r="F82" i="4" s="1"/>
  <c r="J86" i="4"/>
  <c r="J82" i="4" s="1"/>
  <c r="J49" i="4" s="1"/>
  <c r="N86" i="4"/>
  <c r="N82" i="4" s="1"/>
  <c r="N49" i="4" s="1"/>
  <c r="Q90" i="4"/>
  <c r="Q5" i="4"/>
  <c r="Q13" i="4"/>
  <c r="Q39" i="4"/>
  <c r="Q71" i="4"/>
  <c r="Q87" i="4"/>
  <c r="Q88" i="4"/>
  <c r="H4" i="4"/>
  <c r="P4" i="4"/>
  <c r="P107" i="4" s="1"/>
  <c r="G4" i="4"/>
  <c r="G107" i="4" s="1"/>
  <c r="Q26" i="4"/>
  <c r="H4" i="5"/>
  <c r="H107" i="5" s="1"/>
  <c r="I4" i="5"/>
  <c r="I107" i="5" s="1"/>
  <c r="M4" i="5"/>
  <c r="M107" i="5" s="1"/>
  <c r="Q4" i="5"/>
  <c r="Q107" i="5" s="1"/>
  <c r="U4" i="5"/>
  <c r="U107" i="5" s="1"/>
  <c r="L49" i="5"/>
  <c r="W88" i="5"/>
  <c r="W8" i="5"/>
  <c r="S4" i="5"/>
  <c r="S107" i="5" s="1"/>
  <c r="T4" i="5"/>
  <c r="T107" i="5" s="1"/>
  <c r="V4" i="5"/>
  <c r="W19" i="5"/>
  <c r="W21" i="5"/>
  <c r="E25" i="5"/>
  <c r="W39" i="5"/>
  <c r="P49" i="5"/>
  <c r="W80" i="5"/>
  <c r="W93" i="5"/>
  <c r="O4" i="5"/>
  <c r="O107" i="5" s="1"/>
  <c r="P4" i="5"/>
  <c r="P107" i="5" s="1"/>
  <c r="W14" i="5"/>
  <c r="F20" i="5"/>
  <c r="J20" i="5"/>
  <c r="J4" i="5" s="1"/>
  <c r="N20" i="5"/>
  <c r="N4" i="5" s="1"/>
  <c r="R20" i="5"/>
  <c r="R4" i="5" s="1"/>
  <c r="V20" i="5"/>
  <c r="W44" i="5"/>
  <c r="T49" i="5"/>
  <c r="K4" i="5"/>
  <c r="K107" i="5" s="1"/>
  <c r="L4" i="5"/>
  <c r="L107" i="5" s="1"/>
  <c r="W23" i="5"/>
  <c r="W24" i="5"/>
  <c r="W31" i="5"/>
  <c r="H49" i="5"/>
  <c r="F86" i="5"/>
  <c r="F82" i="5" s="1"/>
  <c r="F49" i="5" s="1"/>
  <c r="J86" i="5"/>
  <c r="J82" i="5" s="1"/>
  <c r="J49" i="5" s="1"/>
  <c r="N86" i="5"/>
  <c r="N82" i="5" s="1"/>
  <c r="R86" i="5"/>
  <c r="R82" i="5" s="1"/>
  <c r="R49" i="5" s="1"/>
  <c r="V86" i="5"/>
  <c r="V82" i="5" s="1"/>
  <c r="V49" i="5" s="1"/>
  <c r="G82" i="1"/>
  <c r="Y17" i="1"/>
  <c r="Q16" i="1"/>
  <c r="Y16" i="1" s="1"/>
  <c r="O86" i="1"/>
  <c r="O82" i="1" s="1"/>
  <c r="Y11" i="1"/>
  <c r="Y10" i="1" s="1"/>
  <c r="J14" i="1"/>
  <c r="N19" i="1"/>
  <c r="N18" i="1" s="1"/>
  <c r="J22" i="1"/>
  <c r="X22" i="1"/>
  <c r="X20" i="1" s="1"/>
  <c r="F24" i="1"/>
  <c r="F23" i="1" s="1"/>
  <c r="J24" i="1"/>
  <c r="J23" i="1" s="1"/>
  <c r="N24" i="1"/>
  <c r="N23" i="1" s="1"/>
  <c r="L27" i="1"/>
  <c r="Y42" i="1"/>
  <c r="H77" i="1"/>
  <c r="H76" i="1" s="1"/>
  <c r="L77" i="1"/>
  <c r="L76" i="1" s="1"/>
  <c r="P77" i="1"/>
  <c r="P76" i="1" s="1"/>
  <c r="P49" i="1" s="1"/>
  <c r="T77" i="1"/>
  <c r="T76" i="1" s="1"/>
  <c r="X77" i="1"/>
  <c r="X76" i="1" s="1"/>
  <c r="Y93" i="1"/>
  <c r="Y98" i="1"/>
  <c r="S86" i="1"/>
  <c r="S82" i="1" s="1"/>
  <c r="S8" i="1"/>
  <c r="F13" i="1"/>
  <c r="J13" i="1"/>
  <c r="J12" i="1" s="1"/>
  <c r="N13" i="1"/>
  <c r="N12" i="1" s="1"/>
  <c r="F19" i="1"/>
  <c r="F18" i="1" s="1"/>
  <c r="J21" i="1"/>
  <c r="W20" i="1"/>
  <c r="W4" i="1" s="1"/>
  <c r="V20" i="1"/>
  <c r="J26" i="1"/>
  <c r="J25" i="1" s="1"/>
  <c r="X26" i="1"/>
  <c r="X25" i="1" s="1"/>
  <c r="T27" i="1"/>
  <c r="Y28" i="1"/>
  <c r="Y31" i="1"/>
  <c r="Y44" i="1"/>
  <c r="H69" i="1"/>
  <c r="H68" i="1" s="1"/>
  <c r="X69" i="1"/>
  <c r="X68" i="1" s="1"/>
  <c r="Y71" i="1"/>
  <c r="Y72" i="1"/>
  <c r="Y80" i="1"/>
  <c r="Y90" i="1"/>
  <c r="M4" i="1"/>
  <c r="M107" i="1" s="1"/>
  <c r="V49" i="1"/>
  <c r="K86" i="1"/>
  <c r="K82" i="1" s="1"/>
  <c r="W86" i="1"/>
  <c r="W82" i="1" s="1"/>
  <c r="W49" i="1" s="1"/>
  <c r="T5" i="1"/>
  <c r="G5" i="1"/>
  <c r="K5" i="1"/>
  <c r="R5" i="1"/>
  <c r="R4" i="1" s="1"/>
  <c r="R107" i="1" s="1"/>
  <c r="Y9" i="1"/>
  <c r="K8" i="1"/>
  <c r="R8" i="1"/>
  <c r="E10" i="1"/>
  <c r="E8" i="1" s="1"/>
  <c r="F14" i="1"/>
  <c r="X14" i="1"/>
  <c r="X12" i="1" s="1"/>
  <c r="J19" i="1"/>
  <c r="J18" i="1" s="1"/>
  <c r="X19" i="1"/>
  <c r="X18" i="1" s="1"/>
  <c r="N21" i="1"/>
  <c r="N20" i="1" s="1"/>
  <c r="F22" i="1"/>
  <c r="F20" i="1" s="1"/>
  <c r="X24" i="1"/>
  <c r="X23" i="1" s="1"/>
  <c r="N26" i="1"/>
  <c r="N25" i="1" s="1"/>
  <c r="O49" i="1"/>
  <c r="Y73" i="1"/>
  <c r="Y74" i="1"/>
  <c r="Y77" i="1"/>
  <c r="E79" i="1"/>
  <c r="Y83" i="1"/>
  <c r="Y87" i="1"/>
  <c r="Y88" i="1"/>
  <c r="L13" i="7"/>
  <c r="L31" i="7"/>
  <c r="L73" i="7"/>
  <c r="I82" i="7"/>
  <c r="I49" i="7" s="1"/>
  <c r="L14" i="7"/>
  <c r="G20" i="7"/>
  <c r="L76" i="7"/>
  <c r="L87" i="7"/>
  <c r="L93" i="7"/>
  <c r="L71" i="7"/>
  <c r="L83" i="7"/>
  <c r="L98" i="7"/>
  <c r="I4" i="7"/>
  <c r="L21" i="7"/>
  <c r="L72" i="7"/>
  <c r="F82" i="7"/>
  <c r="F49" i="7" s="1"/>
  <c r="F3" i="7" s="1"/>
  <c r="J82" i="7"/>
  <c r="H107" i="6"/>
  <c r="E82" i="6"/>
  <c r="E49" i="6" s="1"/>
  <c r="F4" i="6"/>
  <c r="F107" i="6" s="1"/>
  <c r="J72" i="6"/>
  <c r="J76" i="6"/>
  <c r="J80" i="6"/>
  <c r="J86" i="6"/>
  <c r="J88" i="6"/>
  <c r="J93" i="6"/>
  <c r="J26" i="6"/>
  <c r="J44" i="6"/>
  <c r="J73" i="6"/>
  <c r="J78" i="6"/>
  <c r="J12" i="6"/>
  <c r="J24" i="6"/>
  <c r="J39" i="6"/>
  <c r="J71" i="6"/>
  <c r="J87" i="6"/>
  <c r="I82" i="6"/>
  <c r="I49" i="6" s="1"/>
  <c r="J14" i="6"/>
  <c r="J42" i="6"/>
  <c r="J70" i="6"/>
  <c r="J74" i="6"/>
  <c r="L12" i="7"/>
  <c r="L23" i="7"/>
  <c r="L19" i="7"/>
  <c r="L22" i="7"/>
  <c r="L25" i="7"/>
  <c r="L79" i="7"/>
  <c r="L5" i="7"/>
  <c r="Q12" i="4"/>
  <c r="N49" i="5"/>
  <c r="W77" i="5"/>
  <c r="W11" i="5"/>
  <c r="W10" i="5" s="1"/>
  <c r="L8" i="7"/>
  <c r="L70" i="7"/>
  <c r="H4" i="7"/>
  <c r="J49" i="7"/>
  <c r="J3" i="7" s="1"/>
  <c r="E20" i="7"/>
  <c r="L6" i="7"/>
  <c r="L9" i="7"/>
  <c r="G69" i="7"/>
  <c r="G68" i="7" s="1"/>
  <c r="G49" i="7" s="1"/>
  <c r="K69" i="7"/>
  <c r="K68" i="7" s="1"/>
  <c r="K49" i="7" s="1"/>
  <c r="E82" i="7"/>
  <c r="E18" i="7"/>
  <c r="E78" i="7"/>
  <c r="L78" i="7" s="1"/>
  <c r="L24" i="7"/>
  <c r="L26" i="7"/>
  <c r="L42" i="7"/>
  <c r="G27" i="7"/>
  <c r="G4" i="7" s="1"/>
  <c r="K27" i="7"/>
  <c r="K4" i="7" s="1"/>
  <c r="E4" i="6"/>
  <c r="E107" i="6" s="1"/>
  <c r="I4" i="6"/>
  <c r="J23" i="6"/>
  <c r="J5" i="6"/>
  <c r="J19" i="6"/>
  <c r="J21" i="6"/>
  <c r="J77" i="6"/>
  <c r="J79" i="6"/>
  <c r="G69" i="6"/>
  <c r="G68" i="6" s="1"/>
  <c r="G49" i="6" s="1"/>
  <c r="J83" i="6"/>
  <c r="G11" i="6"/>
  <c r="G10" i="6" s="1"/>
  <c r="G8" i="6" s="1"/>
  <c r="G4" i="6" s="1"/>
  <c r="G27" i="6"/>
  <c r="S3" i="5"/>
  <c r="K49" i="5"/>
  <c r="K3" i="5" s="1"/>
  <c r="F4" i="5"/>
  <c r="W25" i="5"/>
  <c r="O49" i="5"/>
  <c r="G18" i="5"/>
  <c r="W18" i="5" s="1"/>
  <c r="E20" i="5"/>
  <c r="E70" i="5"/>
  <c r="W70" i="5" s="1"/>
  <c r="G72" i="5"/>
  <c r="E76" i="5"/>
  <c r="W76" i="5" s="1"/>
  <c r="G78" i="5"/>
  <c r="W78" i="5" s="1"/>
  <c r="E86" i="5"/>
  <c r="E69" i="5"/>
  <c r="O4" i="4"/>
  <c r="O107" i="4" s="1"/>
  <c r="Q23" i="4"/>
  <c r="F49" i="4"/>
  <c r="K49" i="4"/>
  <c r="O49" i="4"/>
  <c r="Q25" i="4"/>
  <c r="Q18" i="4"/>
  <c r="I82" i="4"/>
  <c r="I49" i="4" s="1"/>
  <c r="M82" i="4"/>
  <c r="M49" i="4" s="1"/>
  <c r="I4" i="4"/>
  <c r="I107" i="4" s="1"/>
  <c r="M4" i="4"/>
  <c r="M107" i="4" s="1"/>
  <c r="E20" i="4"/>
  <c r="E70" i="4"/>
  <c r="Q70" i="4" s="1"/>
  <c r="E78" i="4"/>
  <c r="Q78" i="4" s="1"/>
  <c r="E86" i="4"/>
  <c r="Q19" i="4"/>
  <c r="E11" i="4"/>
  <c r="Q30" i="4"/>
  <c r="E68" i="4"/>
  <c r="E72" i="4"/>
  <c r="Q72" i="4" s="1"/>
  <c r="E76" i="4"/>
  <c r="Q76" i="4" s="1"/>
  <c r="J3" i="3"/>
  <c r="H4" i="3"/>
  <c r="E10" i="3"/>
  <c r="E8" i="3" s="1"/>
  <c r="E86" i="3"/>
  <c r="E82" i="3" s="1"/>
  <c r="M82" i="3" s="1"/>
  <c r="M50" i="3"/>
  <c r="M69" i="3"/>
  <c r="M73" i="3"/>
  <c r="M77" i="3"/>
  <c r="F49" i="1"/>
  <c r="P4" i="1"/>
  <c r="O4" i="1"/>
  <c r="V4" i="1"/>
  <c r="X49" i="1"/>
  <c r="J49" i="1"/>
  <c r="I49" i="1"/>
  <c r="M49" i="1"/>
  <c r="Q49" i="1"/>
  <c r="U49" i="1"/>
  <c r="U3" i="1" s="1"/>
  <c r="G49" i="1"/>
  <c r="K49" i="1"/>
  <c r="Y68" i="1"/>
  <c r="R49" i="1"/>
  <c r="Y39" i="1"/>
  <c r="G8" i="1"/>
  <c r="S13" i="1"/>
  <c r="S12" i="1" s="1"/>
  <c r="E18" i="1"/>
  <c r="H19" i="1"/>
  <c r="H18" i="1" s="1"/>
  <c r="L19" i="1"/>
  <c r="L18" i="1" s="1"/>
  <c r="S24" i="1"/>
  <c r="S23" i="1" s="1"/>
  <c r="E70" i="1"/>
  <c r="E78" i="1"/>
  <c r="H79" i="1"/>
  <c r="H78" i="1" s="1"/>
  <c r="L79" i="1"/>
  <c r="L78" i="1" s="1"/>
  <c r="L49" i="1" s="1"/>
  <c r="E86" i="1"/>
  <c r="E82" i="1" s="1"/>
  <c r="Y82" i="1" s="1"/>
  <c r="Y7" i="1"/>
  <c r="Y43" i="1"/>
  <c r="S19" i="1"/>
  <c r="S18" i="1" s="1"/>
  <c r="H22" i="1"/>
  <c r="H20" i="1" s="1"/>
  <c r="L22" i="1"/>
  <c r="L20" i="1" s="1"/>
  <c r="H26" i="1"/>
  <c r="H25" i="1" s="1"/>
  <c r="L26" i="1"/>
  <c r="L25" i="1" s="1"/>
  <c r="S79" i="1"/>
  <c r="S78" i="1" s="1"/>
  <c r="H14" i="1"/>
  <c r="H12" i="1" s="1"/>
  <c r="L14" i="1"/>
  <c r="L12" i="1" s="1"/>
  <c r="S22" i="1"/>
  <c r="S20" i="1" s="1"/>
  <c r="Q3" i="1" l="1"/>
  <c r="G4" i="5"/>
  <c r="G107" i="5" s="1"/>
  <c r="F49" i="6"/>
  <c r="M11" i="3"/>
  <c r="M10" i="3" s="1"/>
  <c r="L20" i="7"/>
  <c r="T4" i="1"/>
  <c r="L3" i="4"/>
  <c r="K3" i="4"/>
  <c r="M3" i="5"/>
  <c r="H3" i="5"/>
  <c r="O3" i="5"/>
  <c r="L107" i="4"/>
  <c r="G3" i="4"/>
  <c r="F3" i="3"/>
  <c r="G3" i="3"/>
  <c r="K3" i="3"/>
  <c r="Q68" i="4"/>
  <c r="Q86" i="4"/>
  <c r="Q69" i="4"/>
  <c r="Q27" i="4"/>
  <c r="P3" i="5"/>
  <c r="W20" i="5"/>
  <c r="T3" i="5"/>
  <c r="Y30" i="1"/>
  <c r="Y76" i="1"/>
  <c r="J20" i="1"/>
  <c r="H49" i="1"/>
  <c r="X4" i="1"/>
  <c r="X107" i="1" s="1"/>
  <c r="F12" i="1"/>
  <c r="F4" i="1" s="1"/>
  <c r="L68" i="7"/>
  <c r="J8" i="6"/>
  <c r="H3" i="6"/>
  <c r="H3" i="3"/>
  <c r="H107" i="3"/>
  <c r="M86" i="3"/>
  <c r="I3" i="3"/>
  <c r="L3" i="3"/>
  <c r="L107" i="3"/>
  <c r="J3" i="4"/>
  <c r="J107" i="4"/>
  <c r="Q20" i="4"/>
  <c r="P3" i="4"/>
  <c r="H3" i="4"/>
  <c r="H107" i="4"/>
  <c r="R3" i="5"/>
  <c r="R107" i="5"/>
  <c r="J3" i="5"/>
  <c r="J107" i="5"/>
  <c r="V3" i="5"/>
  <c r="V107" i="5"/>
  <c r="W86" i="5"/>
  <c r="G49" i="5"/>
  <c r="I3" i="5"/>
  <c r="W72" i="5"/>
  <c r="L3" i="5"/>
  <c r="W27" i="5"/>
  <c r="F3" i="5"/>
  <c r="F107" i="5"/>
  <c r="N3" i="5"/>
  <c r="N107" i="5"/>
  <c r="T107" i="1"/>
  <c r="W3" i="1"/>
  <c r="W107" i="1"/>
  <c r="N4" i="1"/>
  <c r="V3" i="1"/>
  <c r="V107" i="1"/>
  <c r="Y18" i="1"/>
  <c r="R3" i="1"/>
  <c r="Y25" i="1"/>
  <c r="Y23" i="1"/>
  <c r="Y13" i="1"/>
  <c r="Y5" i="1"/>
  <c r="M3" i="1"/>
  <c r="Y21" i="1"/>
  <c r="T49" i="1"/>
  <c r="T3" i="1" s="1"/>
  <c r="K4" i="1"/>
  <c r="K107" i="1" s="1"/>
  <c r="J4" i="1"/>
  <c r="Y69" i="1"/>
  <c r="O3" i="1"/>
  <c r="O107" i="1"/>
  <c r="P3" i="1"/>
  <c r="P107" i="1"/>
  <c r="Y27" i="1"/>
  <c r="Y20" i="1"/>
  <c r="S49" i="1"/>
  <c r="Y86" i="1"/>
  <c r="Y8" i="1"/>
  <c r="Y14" i="1"/>
  <c r="I3" i="1"/>
  <c r="K3" i="7"/>
  <c r="K107" i="7"/>
  <c r="H3" i="7"/>
  <c r="H107" i="7"/>
  <c r="L27" i="7"/>
  <c r="L30" i="7"/>
  <c r="L82" i="7"/>
  <c r="L69" i="7"/>
  <c r="I3" i="7"/>
  <c r="I107" i="7"/>
  <c r="F3" i="6"/>
  <c r="G3" i="6"/>
  <c r="G107" i="6"/>
  <c r="I3" i="6"/>
  <c r="I107" i="6"/>
  <c r="J11" i="6"/>
  <c r="J10" i="6" s="1"/>
  <c r="J49" i="6"/>
  <c r="J27" i="6"/>
  <c r="J68" i="6"/>
  <c r="J82" i="6"/>
  <c r="G3" i="7"/>
  <c r="G107" i="7"/>
  <c r="E4" i="7"/>
  <c r="E107" i="7" s="1"/>
  <c r="L18" i="7"/>
  <c r="E49" i="7"/>
  <c r="L49" i="7" s="1"/>
  <c r="J4" i="6"/>
  <c r="E3" i="6"/>
  <c r="J30" i="6"/>
  <c r="J69" i="6"/>
  <c r="W30" i="5"/>
  <c r="G3" i="5"/>
  <c r="W12" i="5"/>
  <c r="E4" i="5"/>
  <c r="E107" i="5" s="1"/>
  <c r="E68" i="5"/>
  <c r="W69" i="5"/>
  <c r="E82" i="5"/>
  <c r="W82" i="5" s="1"/>
  <c r="Q50" i="4"/>
  <c r="E10" i="4"/>
  <c r="E8" i="4" s="1"/>
  <c r="Q11" i="4"/>
  <c r="Q10" i="4" s="1"/>
  <c r="I3" i="4"/>
  <c r="N3" i="4"/>
  <c r="M3" i="4"/>
  <c r="O3" i="4"/>
  <c r="E82" i="4"/>
  <c r="Q82" i="4" s="1"/>
  <c r="F3" i="4"/>
  <c r="M8" i="3"/>
  <c r="E4" i="3"/>
  <c r="E107" i="3" s="1"/>
  <c r="E49" i="3"/>
  <c r="M49" i="3" s="1"/>
  <c r="E49" i="1"/>
  <c r="Y70" i="1"/>
  <c r="Y79" i="1"/>
  <c r="S4" i="1"/>
  <c r="G4" i="1"/>
  <c r="Y24" i="1"/>
  <c r="Y78" i="1"/>
  <c r="H4" i="1"/>
  <c r="Y22" i="1"/>
  <c r="E4" i="1"/>
  <c r="E107" i="1" s="1"/>
  <c r="L4" i="1"/>
  <c r="Y19" i="1"/>
  <c r="Y26" i="1"/>
  <c r="J107" i="6" l="1"/>
  <c r="K3" i="1"/>
  <c r="X3" i="1"/>
  <c r="J107" i="1"/>
  <c r="J3" i="1"/>
  <c r="L3" i="1"/>
  <c r="L107" i="1"/>
  <c r="H3" i="1"/>
  <c r="H107" i="1"/>
  <c r="S3" i="1"/>
  <c r="S107" i="1"/>
  <c r="N3" i="1"/>
  <c r="N107" i="1"/>
  <c r="G3" i="1"/>
  <c r="G107" i="1"/>
  <c r="F107" i="1"/>
  <c r="F3" i="1"/>
  <c r="Y49" i="1"/>
  <c r="J3" i="6"/>
  <c r="L4" i="7"/>
  <c r="E3" i="7"/>
  <c r="L3" i="7" s="1"/>
  <c r="W4" i="5"/>
  <c r="E49" i="5"/>
  <c r="W49" i="5" s="1"/>
  <c r="W68" i="5"/>
  <c r="Q8" i="4"/>
  <c r="E4" i="4"/>
  <c r="E107" i="4" s="1"/>
  <c r="E49" i="4"/>
  <c r="Q49" i="4" s="1"/>
  <c r="M4" i="3"/>
  <c r="E3" i="3"/>
  <c r="M3" i="3" s="1"/>
  <c r="E3" i="1"/>
  <c r="Y4" i="1"/>
  <c r="Y12" i="1"/>
  <c r="L107" i="7" l="1"/>
  <c r="Y3" i="1"/>
  <c r="Y107" i="1"/>
  <c r="W107" i="5"/>
  <c r="M107" i="3"/>
  <c r="E3" i="5"/>
  <c r="W3" i="5" s="1"/>
  <c r="Q4" i="4"/>
  <c r="E3" i="4"/>
  <c r="Q3" i="4" s="1"/>
  <c r="Q107" i="4" l="1"/>
</calcChain>
</file>

<file path=xl/sharedStrings.xml><?xml version="1.0" encoding="utf-8"?>
<sst xmlns="http://schemas.openxmlformats.org/spreadsheetml/2006/main" count="5920" uniqueCount="999">
  <si>
    <r>
      <t>202</t>
    </r>
    <r>
      <rPr>
        <b/>
        <sz val="20"/>
        <color indexed="8"/>
        <rFont val="宋体"/>
        <family val="3"/>
        <charset val="134"/>
      </rPr>
      <t>3年基本支出预算表</t>
    </r>
    <phoneticPr fontId="4" type="noConversion"/>
  </si>
  <si>
    <t>序号</t>
  </si>
  <si>
    <t>项目名称</t>
  </si>
  <si>
    <t>功能分类</t>
  </si>
  <si>
    <t>口径</t>
  </si>
  <si>
    <t>实验小学</t>
    <phoneticPr fontId="4" type="noConversion"/>
  </si>
  <si>
    <t>七宝二中</t>
    <phoneticPr fontId="4" type="noConversion"/>
  </si>
  <si>
    <t>航华二小</t>
    <phoneticPr fontId="4" type="noConversion"/>
  </si>
  <si>
    <t>明强幼儿园</t>
    <phoneticPr fontId="4" type="noConversion"/>
  </si>
  <si>
    <t>皇都幼儿园</t>
    <phoneticPr fontId="4" type="noConversion"/>
  </si>
  <si>
    <t>七宝幼儿园</t>
    <phoneticPr fontId="4" type="noConversion"/>
  </si>
  <si>
    <t>中心幼儿园</t>
    <phoneticPr fontId="4" type="noConversion"/>
  </si>
  <si>
    <t>明强小学</t>
    <phoneticPr fontId="4" type="noConversion"/>
  </si>
  <si>
    <t>七宝实验幼儿园</t>
    <phoneticPr fontId="4" type="noConversion"/>
  </si>
  <si>
    <t>航华二幼</t>
    <phoneticPr fontId="4" type="noConversion"/>
  </si>
  <si>
    <t>七宝三中</t>
    <phoneticPr fontId="4" type="noConversion"/>
  </si>
  <si>
    <t>启英宝盛</t>
    <phoneticPr fontId="4" type="noConversion"/>
  </si>
  <si>
    <t>明强二小</t>
    <phoneticPr fontId="4" type="noConversion"/>
  </si>
  <si>
    <t>星辰幼儿园</t>
    <phoneticPr fontId="4" type="noConversion"/>
  </si>
  <si>
    <t>文来学校</t>
    <phoneticPr fontId="4" type="noConversion"/>
  </si>
  <si>
    <t>黎明小学</t>
    <phoneticPr fontId="4" type="noConversion"/>
  </si>
  <si>
    <t>航华中学</t>
    <phoneticPr fontId="4" type="noConversion"/>
  </si>
  <si>
    <t>社区学校</t>
    <phoneticPr fontId="4" type="noConversion"/>
  </si>
  <si>
    <t>春欣幼儿园</t>
    <phoneticPr fontId="4" type="noConversion"/>
  </si>
  <si>
    <t>合计</t>
  </si>
  <si>
    <t>备注</t>
  </si>
  <si>
    <t>1</t>
  </si>
  <si>
    <t>基本支出总预算数</t>
  </si>
  <si>
    <t>公式计算</t>
  </si>
  <si>
    <t>2</t>
  </si>
  <si>
    <t>工资福利支出</t>
  </si>
  <si>
    <t>3</t>
  </si>
  <si>
    <t>　　基本工资</t>
  </si>
  <si>
    <t>4</t>
  </si>
  <si>
    <t>　　　　1、岗位工资</t>
  </si>
  <si>
    <t>主款项</t>
  </si>
  <si>
    <t>根据人事口径按实编制</t>
  </si>
  <si>
    <t>5</t>
  </si>
  <si>
    <t>　　　　2、薪级工资</t>
  </si>
  <si>
    <t>6</t>
  </si>
  <si>
    <t>　　津贴补贴</t>
  </si>
  <si>
    <t>7</t>
  </si>
  <si>
    <t>　　　　1、各类津贴★▲</t>
  </si>
  <si>
    <t>8</t>
  </si>
  <si>
    <t>　　　　2、各类补贴</t>
  </si>
  <si>
    <t>9</t>
  </si>
  <si>
    <t>　　　　　　(1)上下班交通费补贴</t>
    <phoneticPr fontId="4" type="noConversion"/>
  </si>
  <si>
    <t>10</t>
  </si>
  <si>
    <t>　　其他社会保障缴费</t>
  </si>
  <si>
    <t>注：社保缴费基数应该相同</t>
  </si>
  <si>
    <t>11</t>
  </si>
  <si>
    <t>公式计算（请检查）</t>
  </si>
  <si>
    <t>12</t>
  </si>
  <si>
    <t>13</t>
  </si>
  <si>
    <t>14</t>
  </si>
  <si>
    <t>　　绩效工资</t>
  </si>
  <si>
    <t>15</t>
  </si>
  <si>
    <t>　　　　1、绩效工资</t>
  </si>
  <si>
    <t>根据人保科数字编制（待下发）</t>
  </si>
  <si>
    <t>16</t>
  </si>
  <si>
    <t>　　　　2、校长职级制</t>
  </si>
  <si>
    <t>根据校长职级制按实编制</t>
  </si>
  <si>
    <t>17</t>
  </si>
  <si>
    <t xml:space="preserve">   城镇职工基本医疗保险缴费</t>
  </si>
  <si>
    <t>18</t>
  </si>
  <si>
    <t xml:space="preserve">        1、医疗保险费10.5%</t>
    <phoneticPr fontId="4" type="noConversion"/>
  </si>
  <si>
    <t>事业单位医疗</t>
  </si>
  <si>
    <t>19</t>
  </si>
  <si>
    <t xml:space="preserve">   公务员医疗补助缴费</t>
  </si>
  <si>
    <t>20</t>
  </si>
  <si>
    <r>
      <t xml:space="preserve">          (</t>
    </r>
    <r>
      <rPr>
        <sz val="9"/>
        <color indexed="8"/>
        <rFont val="宋体"/>
        <family val="3"/>
        <charset val="134"/>
      </rPr>
      <t>1</t>
    </r>
    <r>
      <rPr>
        <sz val="9"/>
        <color indexed="8"/>
        <rFont val="宋体"/>
        <family val="3"/>
        <charset val="134"/>
      </rPr>
      <t>)其他保险2%(统筹)</t>
    </r>
  </si>
  <si>
    <t>公务员医疗补助</t>
  </si>
  <si>
    <t>21</t>
  </si>
  <si>
    <r>
      <t xml:space="preserve">          (</t>
    </r>
    <r>
      <rPr>
        <sz val="9"/>
        <color indexed="8"/>
        <rFont val="宋体"/>
        <family val="3"/>
        <charset val="134"/>
      </rPr>
      <t>2</t>
    </r>
    <r>
      <rPr>
        <sz val="9"/>
        <color indexed="8"/>
        <rFont val="宋体"/>
        <family val="3"/>
        <charset val="134"/>
      </rPr>
      <t>)其他保险2%(单位)</t>
    </r>
  </si>
  <si>
    <t>22</t>
  </si>
  <si>
    <t>　　事业单位基本养老保险缴费</t>
  </si>
  <si>
    <t>23</t>
  </si>
  <si>
    <t>　　　　1、基本养老保险16%</t>
    <phoneticPr fontId="4" type="noConversion"/>
  </si>
  <si>
    <t>养老保险</t>
  </si>
  <si>
    <t>24</t>
  </si>
  <si>
    <t>　　职业年金缴纳</t>
  </si>
  <si>
    <t>25</t>
  </si>
  <si>
    <t>　　　　1、职业年金8%</t>
  </si>
  <si>
    <t>职业年金</t>
  </si>
  <si>
    <t>26</t>
  </si>
  <si>
    <t>伙食补助费</t>
  </si>
  <si>
    <t>教职工人数*6000元（公式计算）</t>
    <phoneticPr fontId="4" type="noConversion"/>
  </si>
  <si>
    <t>27</t>
  </si>
  <si>
    <t>公积金</t>
  </si>
  <si>
    <t>根据人事口径按实编制</t>
    <phoneticPr fontId="4" type="noConversion"/>
  </si>
  <si>
    <t>28</t>
  </si>
  <si>
    <t>其他工资福利</t>
    <phoneticPr fontId="4" type="noConversion"/>
  </si>
  <si>
    <t>其他</t>
    <phoneticPr fontId="4" type="noConversion"/>
  </si>
  <si>
    <t>年初预算为0</t>
    <phoneticPr fontId="4" type="noConversion"/>
  </si>
  <si>
    <t>29</t>
  </si>
  <si>
    <t>对个人和家庭补助</t>
  </si>
  <si>
    <t>30</t>
  </si>
  <si>
    <t>　　离休费</t>
  </si>
  <si>
    <t>31</t>
  </si>
  <si>
    <t>　　　　1、交通费</t>
  </si>
  <si>
    <t>离退休</t>
  </si>
  <si>
    <t>根据离休人员情况按实编制</t>
  </si>
  <si>
    <t>32</t>
  </si>
  <si>
    <t>　　　　2、护理费</t>
  </si>
  <si>
    <t>33</t>
  </si>
  <si>
    <t>　　　　3、体检费(仅老干部局填写)</t>
  </si>
  <si>
    <t>不填</t>
  </si>
  <si>
    <t>34</t>
  </si>
  <si>
    <t>　　　　4、电话费</t>
  </si>
  <si>
    <t>35</t>
  </si>
  <si>
    <t>　　　　5、特殊生活补助</t>
  </si>
  <si>
    <t>36</t>
  </si>
  <si>
    <t>　　　　6、离休干部补贴费</t>
  </si>
  <si>
    <t>37</t>
  </si>
  <si>
    <t>　　　　7、护工费</t>
  </si>
  <si>
    <t>38</t>
  </si>
  <si>
    <t>39</t>
  </si>
  <si>
    <t>年初预算为0</t>
  </si>
  <si>
    <t>40</t>
  </si>
  <si>
    <t>　　生活补助</t>
  </si>
  <si>
    <t>41</t>
  </si>
  <si>
    <t>　　　　1、长期赡养补助</t>
  </si>
  <si>
    <t>42</t>
  </si>
  <si>
    <t>　　　　2、退职补助</t>
  </si>
  <si>
    <t>43</t>
  </si>
  <si>
    <t>　　奖励金</t>
  </si>
  <si>
    <t>44</t>
  </si>
  <si>
    <t>　　　　1、独生子女奖励费▲</t>
  </si>
  <si>
    <t>45</t>
  </si>
  <si>
    <t>　　其他支出对个人和家庭补助</t>
  </si>
  <si>
    <t>46</t>
  </si>
  <si>
    <t>　　　　1、子女幼托费</t>
  </si>
  <si>
    <t>按实预测</t>
  </si>
  <si>
    <t>47</t>
  </si>
  <si>
    <t>　　　　2、补贴性人员经费</t>
  </si>
  <si>
    <t>没有，填0</t>
  </si>
  <si>
    <t>48</t>
  </si>
  <si>
    <t>　　　　3、带薪休假费</t>
  </si>
  <si>
    <t>49</t>
  </si>
  <si>
    <t>　　　　4、其他</t>
  </si>
  <si>
    <t>除罗阳小学3人及七宝二中1人的退休共享费外，其他学校填0</t>
  </si>
  <si>
    <t>50</t>
  </si>
  <si>
    <t>商品和服务支出和其他资本性支出</t>
  </si>
  <si>
    <t>51</t>
  </si>
  <si>
    <t>　　(一)公用定额</t>
  </si>
  <si>
    <t>学生人数*定额</t>
  </si>
  <si>
    <t>52</t>
  </si>
  <si>
    <t>　　　　1、办公费</t>
  </si>
  <si>
    <t>53</t>
  </si>
  <si>
    <t xml:space="preserve">        2、印刷费</t>
  </si>
  <si>
    <t>54</t>
  </si>
  <si>
    <t xml:space="preserve">        3、咨询费</t>
  </si>
  <si>
    <t>55</t>
  </si>
  <si>
    <t xml:space="preserve">        4、水费</t>
  </si>
  <si>
    <t>56</t>
  </si>
  <si>
    <t xml:space="preserve">       5、电费</t>
  </si>
  <si>
    <t>57</t>
  </si>
  <si>
    <t xml:space="preserve">       6、邮电费</t>
  </si>
  <si>
    <t>58</t>
  </si>
  <si>
    <t xml:space="preserve">       7、差旅费  </t>
  </si>
  <si>
    <t>59</t>
  </si>
  <si>
    <t xml:space="preserve">       8、维修（护）费</t>
  </si>
  <si>
    <t>60</t>
  </si>
  <si>
    <t xml:space="preserve">       9、会议费</t>
  </si>
  <si>
    <t>61</t>
  </si>
  <si>
    <t xml:space="preserve">       10、培训费</t>
    <phoneticPr fontId="4" type="noConversion"/>
  </si>
  <si>
    <t>主款项</t>
    <phoneticPr fontId="4" type="noConversion"/>
  </si>
  <si>
    <t>生均定额5%</t>
    <phoneticPr fontId="4" type="noConversion"/>
  </si>
  <si>
    <t>62</t>
  </si>
  <si>
    <t xml:space="preserve">       11、公务接待费★</t>
  </si>
  <si>
    <t>63</t>
  </si>
  <si>
    <t xml:space="preserve">       12、专用材料费</t>
  </si>
  <si>
    <t>64</t>
  </si>
  <si>
    <t xml:space="preserve">       13、劳务费</t>
  </si>
  <si>
    <t>65</t>
  </si>
  <si>
    <t xml:space="preserve">       14、委托业务费</t>
  </si>
  <si>
    <t>66</t>
  </si>
  <si>
    <t xml:space="preserve">       15、其他商品和服务支出</t>
  </si>
  <si>
    <t>67</t>
  </si>
  <si>
    <t xml:space="preserve">       16、办公设备配置</t>
  </si>
  <si>
    <t>68</t>
  </si>
  <si>
    <t xml:space="preserve">       17、专用设备</t>
  </si>
  <si>
    <t>69</t>
  </si>
  <si>
    <t>　　(二)培训费</t>
  </si>
  <si>
    <t>70</t>
  </si>
  <si>
    <t>　　　　1、进修、培训 400元/年教师</t>
  </si>
  <si>
    <t>教职工人数*400元（公式计算）</t>
  </si>
  <si>
    <t>71</t>
  </si>
  <si>
    <t>　　(三)维修(护)费</t>
  </si>
  <si>
    <t>72</t>
  </si>
  <si>
    <t>　　　　1、房屋维修费 15元/年平方米</t>
  </si>
  <si>
    <t>房屋面积*15元（公式计算）</t>
  </si>
  <si>
    <t>73</t>
  </si>
  <si>
    <t>　　(四)物业管理费</t>
  </si>
  <si>
    <t>74</t>
  </si>
  <si>
    <t>　　　　1、绿化维护费 8元/年平方米</t>
  </si>
  <si>
    <t>绿化面积*8元（公式计算）</t>
  </si>
  <si>
    <t>75</t>
  </si>
  <si>
    <t>　　(五)租赁费</t>
  </si>
  <si>
    <t>76</t>
  </si>
  <si>
    <t>　　　　1、租赁房租费</t>
  </si>
  <si>
    <t>77</t>
  </si>
  <si>
    <t>　　(六)福利费</t>
  </si>
  <si>
    <t>78</t>
  </si>
  <si>
    <t>　　　　1、福利费</t>
  </si>
  <si>
    <t>教职工人数*4320元（公式计算）</t>
  </si>
  <si>
    <t>79</t>
  </si>
  <si>
    <t>　　(七)工会经费</t>
  </si>
  <si>
    <t>80</t>
  </si>
  <si>
    <t>　　　　1、工会经费2%</t>
  </si>
  <si>
    <t>81</t>
  </si>
  <si>
    <t>　　(八)公务用车运行维护费★</t>
  </si>
  <si>
    <t>82</t>
  </si>
  <si>
    <t>　　　　1、教育系统，校/辆</t>
  </si>
  <si>
    <t>机关局有编制的车辆数*32000元/年（分园及分校预算在其他交通费中编制）</t>
  </si>
  <si>
    <t>83</t>
  </si>
  <si>
    <t>　　(九)其他商品和服务支出</t>
  </si>
  <si>
    <t>84</t>
  </si>
  <si>
    <t>　　　　1、离休公用支出</t>
  </si>
  <si>
    <t>85</t>
  </si>
  <si>
    <t>　　　　　　(1)十四级以上(含参局级、享受局级、正局级、副局级)</t>
  </si>
  <si>
    <t>86</t>
  </si>
  <si>
    <t>　　　　　　(2)十四级以下</t>
  </si>
  <si>
    <t>人数*4320元/年</t>
  </si>
  <si>
    <t>87</t>
  </si>
  <si>
    <t>　　　　2、退休公用支出</t>
  </si>
  <si>
    <t>88</t>
  </si>
  <si>
    <t>　　　　　　(1)活动费(活动费+活动费(托管))</t>
  </si>
  <si>
    <t>退休人数*400元/年（公式计算）</t>
  </si>
  <si>
    <t>89</t>
  </si>
  <si>
    <t>　　　　　　(2)福利费(福利费+福利费(托管)</t>
  </si>
  <si>
    <t>退休人数*4320元/年（公式计算）</t>
  </si>
  <si>
    <t>90</t>
  </si>
  <si>
    <t>　　　　3、其他</t>
  </si>
  <si>
    <t>91</t>
  </si>
  <si>
    <t>　　(十)其他交通费用</t>
  </si>
  <si>
    <t>92</t>
  </si>
  <si>
    <t>　　　　2、教育系统</t>
  </si>
  <si>
    <t xml:space="preserve">
机关局无编制车辆的学校按32000元编制预算
机关局有编制的车辆，每分校增加10000元，每个分园增加5000元编制预算</t>
    <phoneticPr fontId="4" type="noConversion"/>
  </si>
  <si>
    <t>93</t>
  </si>
  <si>
    <t>学校基本情况：</t>
  </si>
  <si>
    <t>94</t>
  </si>
  <si>
    <t>1、教职工(人数)</t>
  </si>
  <si>
    <t>填写2022年9月在编教职工人数</t>
    <phoneticPr fontId="4" type="noConversion"/>
  </si>
  <si>
    <t>95</t>
  </si>
  <si>
    <t xml:space="preserve">       初中</t>
  </si>
  <si>
    <t>96</t>
  </si>
  <si>
    <t xml:space="preserve">       小学</t>
  </si>
  <si>
    <t>97</t>
  </si>
  <si>
    <t xml:space="preserve">       幼儿园</t>
  </si>
  <si>
    <t>98</t>
  </si>
  <si>
    <t xml:space="preserve">       其他</t>
  </si>
  <si>
    <t>99</t>
  </si>
  <si>
    <t>2、学生(人数)</t>
  </si>
  <si>
    <t>填写2022年秋季学期学生人数，以招办人数为准</t>
    <phoneticPr fontId="4" type="noConversion"/>
  </si>
  <si>
    <t>100</t>
  </si>
  <si>
    <t>101</t>
  </si>
  <si>
    <t>102</t>
  </si>
  <si>
    <t>103</t>
  </si>
  <si>
    <t>104</t>
  </si>
  <si>
    <t>3、事业离休人员人数</t>
  </si>
  <si>
    <t>4、事业退休人员人数</t>
  </si>
  <si>
    <t>5、教育单位房屋（面积）</t>
  </si>
  <si>
    <t>6、教育单位绿化（面积）</t>
  </si>
  <si>
    <t>2023年基本支出预算表（七宝镇）</t>
    <phoneticPr fontId="4" type="noConversion"/>
  </si>
  <si>
    <r>
      <t>202</t>
    </r>
    <r>
      <rPr>
        <b/>
        <sz val="20"/>
        <color indexed="8"/>
        <rFont val="宋体"/>
        <family val="3"/>
        <charset val="134"/>
      </rPr>
      <t>3年基本支出预算表</t>
    </r>
  </si>
  <si>
    <t>上虹中学</t>
  </si>
  <si>
    <t>龙柏中学</t>
  </si>
  <si>
    <t>金汇实验</t>
  </si>
  <si>
    <t>虹桥小学</t>
  </si>
  <si>
    <t>龙柏一小</t>
  </si>
  <si>
    <t>中心幼儿园</t>
  </si>
  <si>
    <t>虹鹿幼儿园</t>
  </si>
  <si>
    <t>龙柏一幼</t>
  </si>
  <si>
    <t>龙柏二幼</t>
  </si>
  <si>
    <t>社区学校</t>
  </si>
  <si>
    <t>　　　　　　(1)上下班交通费补贴</t>
  </si>
  <si>
    <t xml:space="preserve">        1、医疗保险费10.5%</t>
  </si>
  <si>
    <t>　　　　1、基本养老保险16%</t>
  </si>
  <si>
    <t>教职工人数*6000元（公式计算）</t>
  </si>
  <si>
    <t>其他工资福利</t>
  </si>
  <si>
    <t>其他</t>
  </si>
  <si>
    <t xml:space="preserve">       10、培训费</t>
  </si>
  <si>
    <t>生均定额5%</t>
  </si>
  <si>
    <t xml:space="preserve">
机关局无编制车辆的学校按32000元编制预算
机关局有编制的车辆，每分校增加10000元，每个分园增加5000元编制预算</t>
  </si>
  <si>
    <t>填写2022年9月在编教职工人数</t>
  </si>
  <si>
    <t>填写2022年秋季学期学生人数，以招办人数为准</t>
  </si>
  <si>
    <t>华漕幼儿园</t>
    <phoneticPr fontId="4" type="noConversion"/>
  </si>
  <si>
    <t>华漕学校</t>
    <phoneticPr fontId="4" type="noConversion"/>
  </si>
  <si>
    <t>诸翟学校</t>
    <phoneticPr fontId="4" type="noConversion"/>
  </si>
  <si>
    <t>金色幼儿园</t>
    <phoneticPr fontId="4" type="noConversion"/>
  </si>
  <si>
    <t>纪王幼儿园</t>
    <phoneticPr fontId="4" type="noConversion"/>
  </si>
  <si>
    <t>纪王学校</t>
    <phoneticPr fontId="4" type="noConversion"/>
  </si>
  <si>
    <t>诸翟幼儿园</t>
    <phoneticPr fontId="4" type="noConversion"/>
  </si>
  <si>
    <t>马桥社区学校</t>
  </si>
  <si>
    <t>马桥强恕学校</t>
  </si>
  <si>
    <t>交大马桥实验学校</t>
  </si>
  <si>
    <t>马桥复旦万科实中</t>
  </si>
  <si>
    <t>马桥文来外小</t>
  </si>
  <si>
    <t>马桥中心幼</t>
  </si>
  <si>
    <t>马桥元祥幼</t>
  </si>
  <si>
    <t>马桥实验幼</t>
  </si>
  <si>
    <t>马桥启英幼</t>
  </si>
  <si>
    <t>马桥富杰幼</t>
  </si>
  <si>
    <t>马桥富卓幼</t>
  </si>
  <si>
    <t>马桥富国幼</t>
  </si>
  <si>
    <t>上海市闵行区梅陇中学</t>
  </si>
  <si>
    <t>上海市七宝中学附属闵行金都实验中学</t>
    <phoneticPr fontId="4" type="noConversion"/>
  </si>
  <si>
    <t>上海中医药大学附属闵行晶城中学</t>
  </si>
  <si>
    <t>闵行区梅陇中心小学</t>
  </si>
  <si>
    <t>上海市闵行区曹行小学</t>
  </si>
  <si>
    <t>闵行区罗阳小学</t>
  </si>
  <si>
    <t>上海中医药大学附属闵行蔷薇小学</t>
  </si>
  <si>
    <t>闵行区梅陇镇中心幼儿园</t>
  </si>
  <si>
    <t>闵行区曹行中心幼儿园</t>
  </si>
  <si>
    <t>上海市闵行区春申景城幼儿园</t>
  </si>
  <si>
    <t>上海市闵行区晶采坊幼儿园</t>
  </si>
  <si>
    <t>上海市闵行区罗阳河畔幼儿园</t>
  </si>
  <si>
    <t>上海市闵行区晶华坊幼儿园</t>
  </si>
  <si>
    <t>上海市闵行区梅陇金都幼儿园</t>
  </si>
  <si>
    <t>上海市闵行区梅陇梅锦幼儿园</t>
  </si>
  <si>
    <t>上海市闵行区梅陇永联幼儿园</t>
    <phoneticPr fontId="4" type="noConversion"/>
  </si>
  <si>
    <t>上海市闵行区梅陇镇社区学校</t>
  </si>
  <si>
    <t>上海市罗阳中学</t>
    <phoneticPr fontId="4" type="noConversion"/>
  </si>
  <si>
    <t>佳佳幼儿园</t>
    <phoneticPr fontId="4" type="noConversion"/>
  </si>
  <si>
    <t>康城幼儿园</t>
  </si>
  <si>
    <t>明星学校</t>
  </si>
  <si>
    <t>实验幼儿园</t>
  </si>
  <si>
    <t>上海市闵行区教育学院附属友爱实验中学</t>
    <phoneticPr fontId="4" type="noConversion"/>
  </si>
  <si>
    <t>上海市闵行区景东小学</t>
  </si>
  <si>
    <t>华东师范大学闵行永德实验小学</t>
  </si>
  <si>
    <t>闵行区塘湾中心幼儿园</t>
  </si>
  <si>
    <t>上海市闵行区吴泾第三幼儿园</t>
  </si>
  <si>
    <t>华东师范大学闵行永德实验幼儿园</t>
  </si>
  <si>
    <t>上海市闵行区吴泾镇社区学校</t>
  </si>
  <si>
    <r>
      <t>202</t>
    </r>
    <r>
      <rPr>
        <b/>
        <sz val="20"/>
        <color indexed="8"/>
        <rFont val="宋体"/>
        <family val="3"/>
        <charset val="134"/>
      </rPr>
      <t>3年基本支出预算表</t>
    </r>
    <phoneticPr fontId="11" type="noConversion"/>
  </si>
  <si>
    <t>颛桥中学</t>
  </si>
  <si>
    <t>北桥中学</t>
  </si>
  <si>
    <t>颛桥小学</t>
  </si>
  <si>
    <t>北桥小学</t>
  </si>
  <si>
    <t>田园外小</t>
  </si>
  <si>
    <t>田园二外小</t>
  </si>
  <si>
    <t>颛桥一幼</t>
  </si>
  <si>
    <t>颛桥镇幼</t>
  </si>
  <si>
    <t>君莲幼儿园</t>
  </si>
  <si>
    <t>上师大幼</t>
  </si>
  <si>
    <t>君莲学校</t>
  </si>
  <si>
    <t>颛桥镇二幼</t>
    <phoneticPr fontId="11" type="noConversion"/>
  </si>
  <si>
    <t>田园中学</t>
    <phoneticPr fontId="11" type="noConversion"/>
  </si>
  <si>
    <t>田园幼儿园</t>
    <phoneticPr fontId="11" type="noConversion"/>
  </si>
  <si>
    <t>　　　　　　(1)上下班交通费补贴</t>
    <phoneticPr fontId="11" type="noConversion"/>
  </si>
  <si>
    <t xml:space="preserve">        1、医疗保险费10.5%</t>
    <phoneticPr fontId="11" type="noConversion"/>
  </si>
  <si>
    <r>
      <t xml:space="preserve">          (</t>
    </r>
    <r>
      <rPr>
        <sz val="9"/>
        <color indexed="8"/>
        <rFont val="宋体"/>
        <family val="3"/>
        <charset val="134"/>
      </rPr>
      <t>1</t>
    </r>
    <r>
      <rPr>
        <sz val="9"/>
        <color indexed="8"/>
        <rFont val="宋体"/>
        <family val="3"/>
        <charset val="134"/>
      </rPr>
      <t>)其他保险2%(统筹)</t>
    </r>
  </si>
  <si>
    <r>
      <t xml:space="preserve">          (</t>
    </r>
    <r>
      <rPr>
        <sz val="9"/>
        <color indexed="8"/>
        <rFont val="宋体"/>
        <family val="3"/>
        <charset val="134"/>
      </rPr>
      <t>2</t>
    </r>
    <r>
      <rPr>
        <sz val="9"/>
        <color indexed="8"/>
        <rFont val="宋体"/>
        <family val="3"/>
        <charset val="134"/>
      </rPr>
      <t>)其他保险2%(单位)</t>
    </r>
  </si>
  <si>
    <t>　　　　1、基本养老保险16%</t>
    <phoneticPr fontId="11" type="noConversion"/>
  </si>
  <si>
    <t>教职工人数*6000元（公式计算）</t>
    <phoneticPr fontId="11" type="noConversion"/>
  </si>
  <si>
    <t>根据人事口径按实编制</t>
    <phoneticPr fontId="11" type="noConversion"/>
  </si>
  <si>
    <t>其他工资福利</t>
    <phoneticPr fontId="11" type="noConversion"/>
  </si>
  <si>
    <t>其他</t>
    <phoneticPr fontId="11" type="noConversion"/>
  </si>
  <si>
    <t>年初预算为0</t>
    <phoneticPr fontId="11" type="noConversion"/>
  </si>
  <si>
    <t xml:space="preserve">       10、培训费</t>
    <phoneticPr fontId="11" type="noConversion"/>
  </si>
  <si>
    <t>主款项</t>
    <phoneticPr fontId="11" type="noConversion"/>
  </si>
  <si>
    <t>生均定额5%</t>
    <phoneticPr fontId="11" type="noConversion"/>
  </si>
  <si>
    <t xml:space="preserve">
机关局无编制车辆的学校按32000元编制预算
机关局有编制的车辆，每分校增加10000元，每个分园增加5000元编制预算</t>
    <phoneticPr fontId="11" type="noConversion"/>
  </si>
  <si>
    <t>填写2022年9月在编教职工人数</t>
    <phoneticPr fontId="11" type="noConversion"/>
  </si>
  <si>
    <t>填写2022年秋季学期学生人数，以招办人数为准</t>
    <phoneticPr fontId="11" type="noConversion"/>
  </si>
  <si>
    <t>单位名称</t>
  </si>
  <si>
    <t>属性</t>
  </si>
  <si>
    <t>类别</t>
  </si>
  <si>
    <t>人数</t>
  </si>
  <si>
    <t>估计标准</t>
  </si>
  <si>
    <t>估计金额</t>
  </si>
  <si>
    <t>上海市闵行区上虹中学</t>
  </si>
  <si>
    <t>镇管-虹桥</t>
  </si>
  <si>
    <t>初中</t>
  </si>
  <si>
    <t>上海市龙柏中学</t>
  </si>
  <si>
    <t>上海市金汇实验学校</t>
  </si>
  <si>
    <t>九年一贯</t>
  </si>
  <si>
    <t>闵行区虹桥中心小学</t>
  </si>
  <si>
    <t>小学</t>
  </si>
  <si>
    <t>闵行区龙柏第一小学</t>
  </si>
  <si>
    <t>闵行区虹桥中心幼儿园</t>
  </si>
  <si>
    <t>幼儿园</t>
  </si>
  <si>
    <t>上海市闵行区虹鹿幼儿园</t>
  </si>
  <si>
    <t>闵行区龙柏第一幼儿园</t>
  </si>
  <si>
    <t>闵行区龙柏第二幼儿园</t>
  </si>
  <si>
    <t>上海市闵行区虹桥镇社区学校</t>
  </si>
  <si>
    <t>镇管-虹桥 汇总</t>
  </si>
  <si>
    <t>上海市闵行区纪王学校</t>
  </si>
  <si>
    <t>镇管-华漕</t>
  </si>
  <si>
    <t>上海市闵行区诸翟学校</t>
  </si>
  <si>
    <t>上海市闵行区华漕学校</t>
  </si>
  <si>
    <t>闵行区华漕镇纪王幼儿园</t>
  </si>
  <si>
    <t>上海市闵行区诸翟中心幼儿园</t>
  </si>
  <si>
    <t>闵行区华漕镇中心幼儿园</t>
  </si>
  <si>
    <t>上海市闵行区华漕镇金色幼儿园</t>
  </si>
  <si>
    <t>上海市闵行区华漕镇社区学校</t>
  </si>
  <si>
    <t>镇管-华漕 汇总</t>
  </si>
  <si>
    <t>上海市闵行区马桥复旦万科实验中学</t>
  </si>
  <si>
    <t>镇管-马桥</t>
  </si>
  <si>
    <t>上海市马桥强恕学校</t>
  </si>
  <si>
    <t>上海市闵行区马桥实验学校</t>
  </si>
  <si>
    <t>上海市闵行区马桥文来外国语小学</t>
  </si>
  <si>
    <t>闵行区马桥中心幼儿园</t>
  </si>
  <si>
    <t>上海市闵行区马桥富国幼儿园</t>
  </si>
  <si>
    <t>上海市闵行区马桥元祥幼儿园</t>
  </si>
  <si>
    <t>上海市闵行区马桥实验幼儿园</t>
  </si>
  <si>
    <t>上海市闵行区马桥富杰幼儿园</t>
  </si>
  <si>
    <t>上海市闵行区马桥启英幼儿园</t>
  </si>
  <si>
    <t>上海市闵行区马桥富卓幼儿园</t>
  </si>
  <si>
    <t>上海市闵行区马桥镇社区学校</t>
  </si>
  <si>
    <t>镇管-马桥 汇总</t>
  </si>
  <si>
    <t>镇管-梅陇</t>
  </si>
  <si>
    <t>上海市罗阳中学</t>
  </si>
  <si>
    <t>上海市闵行区曹行中学(金都）</t>
    <phoneticPr fontId="3" type="noConversion"/>
  </si>
  <si>
    <t>上海市闵行区梅陇永联幼儿园</t>
    <phoneticPr fontId="3" type="noConversion"/>
  </si>
  <si>
    <t>镇管-梅陇 汇总</t>
  </si>
  <si>
    <t>上海市闵行区浦江第二中学</t>
  </si>
  <si>
    <t>镇管-浦江</t>
  </si>
  <si>
    <t>上海市闵行区浦江第三中学</t>
  </si>
  <si>
    <t>上海市闵行区浦航实验中学</t>
  </si>
  <si>
    <t>上海世外教育附属浦江外国语学校</t>
  </si>
  <si>
    <t>上海市闵行区浦江第二小学</t>
  </si>
  <si>
    <t>上海市闵行区浦江第三小学</t>
  </si>
  <si>
    <t>上海戏剧学院闵行附属学校</t>
  </si>
  <si>
    <t>上海市闵行区浦汇小学</t>
  </si>
  <si>
    <t>上海市闵行区浦江汇秀小学</t>
  </si>
  <si>
    <t>上海市闵行区浦江镇第二幼儿园</t>
  </si>
  <si>
    <t>闵行区浦江镇第三幼儿园</t>
  </si>
  <si>
    <t>上海市闵行区浦江闸航路幼儿园</t>
  </si>
  <si>
    <t>上海市闵行区浦江宝邸幼儿园</t>
  </si>
  <si>
    <t>上海市闵行区浦莲幼儿园</t>
  </si>
  <si>
    <t>上海市闵行区浦江瑞和城幼儿园</t>
  </si>
  <si>
    <t>上海市闵行区浦航幼儿园</t>
  </si>
  <si>
    <t>上海市闵行区浦瑞幼儿园</t>
  </si>
  <si>
    <t>上海师范大学附属中学闵行实验学校</t>
  </si>
  <si>
    <t>上海市闵行区浦江镇社区学校</t>
  </si>
  <si>
    <t>镇管-浦江 汇总</t>
  </si>
  <si>
    <t>上海市航华中学</t>
  </si>
  <si>
    <t>镇管-七宝</t>
  </si>
  <si>
    <t>上海市闵行区文来学校</t>
  </si>
  <si>
    <t>上海市闵行区七宝第二中学</t>
  </si>
  <si>
    <t>上海市七宝实验中学</t>
  </si>
  <si>
    <t>上海市闵行区七宝第三中学</t>
  </si>
  <si>
    <t>闵行区航华第二小学</t>
  </si>
  <si>
    <t>闵行区七宝镇明强小学</t>
  </si>
  <si>
    <t>闵行区黎明小学</t>
  </si>
  <si>
    <t>上海市七宝实验小学</t>
  </si>
  <si>
    <t>上海市闵行区七宝明强第二小学</t>
  </si>
  <si>
    <t>闵行区航华第二幼儿园</t>
  </si>
  <si>
    <t>闵行区七宝中心幼儿园</t>
  </si>
  <si>
    <t>上海市闵行区星辰幼儿园</t>
  </si>
  <si>
    <t>上海市闵行区春欣幼儿园</t>
  </si>
  <si>
    <t>上海市闵行区七宝皇都幼儿园</t>
  </si>
  <si>
    <t>上海市闵行区七宝实验幼儿园</t>
  </si>
  <si>
    <t>上海市闵行区明强幼儿园</t>
  </si>
  <si>
    <t>上海市闵行区七宝幼儿园</t>
  </si>
  <si>
    <t>上海市闵行区启英宝盛幼儿园</t>
  </si>
  <si>
    <t>上海市闵行区七宝镇社区学校</t>
  </si>
  <si>
    <t>镇管-七宝 汇总</t>
  </si>
  <si>
    <t>上海市闵行区明星学校</t>
  </si>
  <si>
    <t>镇管-莘庄</t>
  </si>
  <si>
    <t>闵行区佳佳中心幼儿园</t>
  </si>
  <si>
    <t>上海市闵行区康城幼儿园</t>
  </si>
  <si>
    <t>上海市闵行区实验幼儿园</t>
  </si>
  <si>
    <t>上海市闵行区莘庄镇社区学校</t>
  </si>
  <si>
    <t>镇管-莘庄 汇总</t>
  </si>
  <si>
    <t>上海市闵行区教育学院附属友爱实验中学</t>
  </si>
  <si>
    <t>镇管-吴泾</t>
  </si>
  <si>
    <t>镇管-吴泾 汇总</t>
  </si>
  <si>
    <t>上海市闵行区颛桥中学</t>
  </si>
  <si>
    <t>镇管-颛桥</t>
  </si>
  <si>
    <t>上海市闵行区北桥中学</t>
  </si>
  <si>
    <t>上海市闵行区田园外国语中学</t>
  </si>
  <si>
    <t>上海市闵行区君莲学校</t>
  </si>
  <si>
    <t>闵行区颛桥中心小学</t>
  </si>
  <si>
    <t>上海市闵行区田园外语实验小学</t>
  </si>
  <si>
    <t>闵行区北桥中心小学</t>
  </si>
  <si>
    <t>上海市闵行区田园第二外语实验小学</t>
  </si>
  <si>
    <t>上海市闵行区颛桥镇幼儿园</t>
  </si>
  <si>
    <t>上海市闵行区颛桥镇第一幼儿园</t>
  </si>
  <si>
    <t>上海市闵行区君莲幼儿园</t>
  </si>
  <si>
    <t>上海师范大学闵行实验幼儿园</t>
  </si>
  <si>
    <t>上海市闵行区颛桥镇田园都市幼儿园</t>
  </si>
  <si>
    <t>上海市闵行区颛桥镇第二幼儿园</t>
  </si>
  <si>
    <t>上海市闵行区颛桥镇社区学校</t>
  </si>
  <si>
    <t>镇管-颛桥 汇总</t>
  </si>
  <si>
    <t>总计</t>
  </si>
  <si>
    <t>2023年绩效预估（在编人员）</t>
    <phoneticPr fontId="3" type="noConversion"/>
  </si>
  <si>
    <t>世外浦江</t>
  </si>
  <si>
    <t>二小</t>
  </si>
  <si>
    <t>浦江三小</t>
  </si>
  <si>
    <t>上戏附校</t>
  </si>
  <si>
    <t>浦江三幼</t>
  </si>
  <si>
    <t>浦莲</t>
  </si>
  <si>
    <t>浦江二中</t>
    <phoneticPr fontId="4" type="noConversion"/>
  </si>
  <si>
    <t>浦江三中</t>
    <phoneticPr fontId="4" type="noConversion"/>
  </si>
  <si>
    <t>浦航实中</t>
    <phoneticPr fontId="4" type="noConversion"/>
  </si>
  <si>
    <t>上师闵实验</t>
    <phoneticPr fontId="4" type="noConversion"/>
  </si>
  <si>
    <t>浦汇小学</t>
    <phoneticPr fontId="4" type="noConversion"/>
  </si>
  <si>
    <t>汇秀（福山）</t>
    <phoneticPr fontId="4" type="noConversion"/>
  </si>
  <si>
    <t>浦江二幼</t>
    <phoneticPr fontId="4" type="noConversion"/>
  </si>
  <si>
    <t>宝邸幼儿园</t>
    <phoneticPr fontId="4" type="noConversion"/>
  </si>
  <si>
    <t>闸航路幼儿园</t>
    <phoneticPr fontId="4" type="noConversion"/>
  </si>
  <si>
    <t>瑞和城幼儿园</t>
    <phoneticPr fontId="4" type="noConversion"/>
  </si>
  <si>
    <t>浦瑞幼儿园</t>
    <phoneticPr fontId="4" type="noConversion"/>
  </si>
  <si>
    <t xml:space="preserve">     浦航幼儿园</t>
    <phoneticPr fontId="4" type="noConversion"/>
  </si>
  <si>
    <t>浦江镇社区学校</t>
    <phoneticPr fontId="4" type="noConversion"/>
  </si>
  <si>
    <t>　　　　　　(1)上下班交通费补贴</t>
    <phoneticPr fontId="4" type="noConversion"/>
  </si>
  <si>
    <t xml:space="preserve">        1、医疗保险费10.5%</t>
    <phoneticPr fontId="4" type="noConversion"/>
  </si>
  <si>
    <t>　　　　1、基本养老保险16%</t>
    <phoneticPr fontId="4" type="noConversion"/>
  </si>
  <si>
    <t>教职工人数*6000元（公式计算）</t>
    <phoneticPr fontId="4" type="noConversion"/>
  </si>
  <si>
    <t>根据人事口径按实编制</t>
    <phoneticPr fontId="4" type="noConversion"/>
  </si>
  <si>
    <t>其他工资福利</t>
    <phoneticPr fontId="4" type="noConversion"/>
  </si>
  <si>
    <t>其他</t>
    <phoneticPr fontId="4" type="noConversion"/>
  </si>
  <si>
    <t>年初预算为0</t>
    <phoneticPr fontId="4" type="noConversion"/>
  </si>
  <si>
    <t xml:space="preserve">       10、培训费</t>
    <phoneticPr fontId="4" type="noConversion"/>
  </si>
  <si>
    <t>主款项</t>
    <phoneticPr fontId="4" type="noConversion"/>
  </si>
  <si>
    <t>生均定额5%</t>
    <phoneticPr fontId="4" type="noConversion"/>
  </si>
  <si>
    <t xml:space="preserve">
机关局无编制车辆的学校按32000元编制预算
机关局有编制的车辆，每分校增加10000元，每个分园增加5000元编制预算</t>
    <phoneticPr fontId="4" type="noConversion"/>
  </si>
  <si>
    <t>填写2022年9月在编教职工人数</t>
    <phoneticPr fontId="4" type="noConversion"/>
  </si>
  <si>
    <t>填写2022年秋季学期学生人数，以招办人数为准</t>
    <phoneticPr fontId="4" type="noConversion"/>
  </si>
  <si>
    <t>七宝镇</t>
    <phoneticPr fontId="3" type="noConversion"/>
  </si>
  <si>
    <t>虹桥镇</t>
    <phoneticPr fontId="3" type="noConversion"/>
  </si>
  <si>
    <t>华漕镇</t>
    <phoneticPr fontId="3" type="noConversion"/>
  </si>
  <si>
    <t>马桥镇</t>
    <phoneticPr fontId="3" type="noConversion"/>
  </si>
  <si>
    <t>梅陇镇</t>
    <phoneticPr fontId="3" type="noConversion"/>
  </si>
  <si>
    <t>莘庄镇</t>
    <phoneticPr fontId="3" type="noConversion"/>
  </si>
  <si>
    <t>吴泾镇</t>
    <phoneticPr fontId="3" type="noConversion"/>
  </si>
  <si>
    <t>颛桥镇</t>
    <phoneticPr fontId="3" type="noConversion"/>
  </si>
  <si>
    <t>浦江镇</t>
    <phoneticPr fontId="3" type="noConversion"/>
  </si>
  <si>
    <t>合计</t>
    <phoneticPr fontId="3" type="noConversion"/>
  </si>
  <si>
    <t>2023年基本支出预算表</t>
    <phoneticPr fontId="4" type="noConversion"/>
  </si>
  <si>
    <t>单位</t>
  </si>
  <si>
    <t>莘庄</t>
  </si>
  <si>
    <t>吴泾</t>
  </si>
  <si>
    <t>七宝</t>
  </si>
  <si>
    <t>浦江</t>
  </si>
  <si>
    <t>梅陇</t>
  </si>
  <si>
    <t>马桥</t>
  </si>
  <si>
    <t>华漕</t>
  </si>
  <si>
    <t>颛桥</t>
  </si>
  <si>
    <t>虹桥</t>
  </si>
  <si>
    <t>2023年镇管学校校区保安经费预算表</t>
    <phoneticPr fontId="3" type="noConversion"/>
  </si>
  <si>
    <t>莘庄社区学校</t>
    <phoneticPr fontId="4" type="noConversion"/>
  </si>
  <si>
    <t>闵行实验幼儿园</t>
    <phoneticPr fontId="3" type="noConversion"/>
  </si>
  <si>
    <t>七宝实验中学</t>
    <phoneticPr fontId="4" type="noConversion"/>
  </si>
  <si>
    <t>莘庄</t>
    <phoneticPr fontId="3" type="noConversion"/>
  </si>
  <si>
    <t>吴泾</t>
    <phoneticPr fontId="3" type="noConversion"/>
  </si>
  <si>
    <t>七宝</t>
    <phoneticPr fontId="3" type="noConversion"/>
  </si>
  <si>
    <t>浦江</t>
    <phoneticPr fontId="3" type="noConversion"/>
  </si>
  <si>
    <t>梅陇</t>
    <phoneticPr fontId="3" type="noConversion"/>
  </si>
  <si>
    <t>马桥</t>
    <phoneticPr fontId="3" type="noConversion"/>
  </si>
  <si>
    <t>华漕</t>
    <phoneticPr fontId="3" type="noConversion"/>
  </si>
  <si>
    <t>颛桥</t>
    <phoneticPr fontId="3" type="noConversion"/>
  </si>
  <si>
    <t>虹桥</t>
    <phoneticPr fontId="3" type="noConversion"/>
  </si>
  <si>
    <t>镇属</t>
    <phoneticPr fontId="3" type="noConversion"/>
  </si>
  <si>
    <t>单位</t>
    <phoneticPr fontId="3" type="noConversion"/>
  </si>
  <si>
    <t>金额</t>
    <phoneticPr fontId="3" type="noConversion"/>
  </si>
  <si>
    <t>莘庄 汇总</t>
  </si>
  <si>
    <t>吴泾 汇总</t>
  </si>
  <si>
    <t>七宝 汇总</t>
  </si>
  <si>
    <t>浦江 汇总</t>
  </si>
  <si>
    <t>梅陇 汇总</t>
  </si>
  <si>
    <t>马桥 汇总</t>
  </si>
  <si>
    <t>华漕 汇总</t>
  </si>
  <si>
    <t>颛桥 汇总</t>
  </si>
  <si>
    <t>虹桥 汇总</t>
  </si>
  <si>
    <t>莘庄社区学校</t>
    <phoneticPr fontId="4" type="noConversion"/>
  </si>
  <si>
    <t>实验小学</t>
    <phoneticPr fontId="4" type="noConversion"/>
  </si>
  <si>
    <t>七宝二中</t>
    <phoneticPr fontId="4" type="noConversion"/>
  </si>
  <si>
    <t>航华二小</t>
    <phoneticPr fontId="4" type="noConversion"/>
  </si>
  <si>
    <t>明强幼儿园</t>
    <phoneticPr fontId="4" type="noConversion"/>
  </si>
  <si>
    <t>皇都幼儿园</t>
    <phoneticPr fontId="4" type="noConversion"/>
  </si>
  <si>
    <t>七宝幼儿园</t>
    <phoneticPr fontId="4" type="noConversion"/>
  </si>
  <si>
    <t>中心幼儿园</t>
    <phoneticPr fontId="4" type="noConversion"/>
  </si>
  <si>
    <t>七宝实验幼儿园</t>
    <phoneticPr fontId="4" type="noConversion"/>
  </si>
  <si>
    <t>航华二幼</t>
    <phoneticPr fontId="4" type="noConversion"/>
  </si>
  <si>
    <t>启英宝盛</t>
    <phoneticPr fontId="4" type="noConversion"/>
  </si>
  <si>
    <t>明强二小</t>
    <phoneticPr fontId="4" type="noConversion"/>
  </si>
  <si>
    <t>星辰幼儿园</t>
    <phoneticPr fontId="4" type="noConversion"/>
  </si>
  <si>
    <t>文来学校</t>
    <phoneticPr fontId="4" type="noConversion"/>
  </si>
  <si>
    <t>航华中学</t>
    <phoneticPr fontId="4" type="noConversion"/>
  </si>
  <si>
    <t>春欣幼儿园</t>
    <phoneticPr fontId="4" type="noConversion"/>
  </si>
  <si>
    <t>　　　　1、工伤保险费0.256%</t>
    <phoneticPr fontId="4" type="noConversion"/>
  </si>
  <si>
    <t>　　　　2、失业保险0.5%</t>
    <phoneticPr fontId="4" type="noConversion"/>
  </si>
  <si>
    <t>　　　　1、工伤保险费0.256%</t>
    <phoneticPr fontId="4" type="noConversion"/>
  </si>
  <si>
    <t>　　　　2、失业保险0.5%</t>
    <phoneticPr fontId="4" type="noConversion"/>
  </si>
  <si>
    <t>　　　  1、工伤保险费0.256%</t>
    <phoneticPr fontId="4" type="noConversion"/>
  </si>
  <si>
    <t>　　　　1、工伤保险费0.256%</t>
    <phoneticPr fontId="11" type="noConversion"/>
  </si>
  <si>
    <t>　　　　2、失业保险0.5%</t>
    <phoneticPr fontId="11" type="noConversion"/>
  </si>
  <si>
    <t>　　　　1、工伤保险费0.256%</t>
    <phoneticPr fontId="3" type="noConversion"/>
  </si>
  <si>
    <t>　　　　2、失业保险0.5%</t>
    <phoneticPr fontId="3" type="noConversion"/>
  </si>
  <si>
    <t>镇属</t>
  </si>
  <si>
    <t>学校</t>
  </si>
  <si>
    <t>学段</t>
    <phoneticPr fontId="3" type="noConversion"/>
  </si>
  <si>
    <t>教育教辅后勤应配用工人数(2022人保提供）</t>
    <phoneticPr fontId="3" type="noConversion"/>
  </si>
  <si>
    <t>现有辅助用工人数（2022年人保科提供）</t>
    <phoneticPr fontId="3" type="noConversion"/>
  </si>
  <si>
    <t>财政资金应配备人数</t>
  </si>
  <si>
    <t>专技岗位
应配人数</t>
  </si>
  <si>
    <t>管理岗位
应配人数</t>
  </si>
  <si>
    <t>技术岗位
应配人数</t>
  </si>
  <si>
    <t>勤杂岗位
应配人数</t>
  </si>
  <si>
    <t>工资
（1-12月）</t>
  </si>
  <si>
    <t>福利费
（1月-12月）</t>
  </si>
  <si>
    <t>伙食费
（1-12月）</t>
  </si>
  <si>
    <t>工会经费
（1-12月）</t>
  </si>
  <si>
    <t>考核
（1-12月）</t>
  </si>
  <si>
    <t>奖金</t>
    <phoneticPr fontId="3" type="noConversion"/>
  </si>
  <si>
    <t>社保公积金（35.756%）</t>
    <phoneticPr fontId="3" type="noConversion"/>
  </si>
  <si>
    <t>闵行区吴泾镇社区学校</t>
  </si>
  <si>
    <t>社区学校</t>
    <phoneticPr fontId="3" type="noConversion"/>
  </si>
  <si>
    <t>吴泾合计</t>
  </si>
  <si>
    <t>管理费
（2023年全年）</t>
    <phoneticPr fontId="3" type="noConversion"/>
  </si>
  <si>
    <t>2023年预算金额（学校实际执行按人事部门规定标准执行，严禁超标准发放）</t>
    <phoneticPr fontId="3" type="noConversion"/>
  </si>
  <si>
    <t>虹桥社区学校</t>
    <phoneticPr fontId="3" type="noConversion"/>
  </si>
  <si>
    <t>颛桥社区学校</t>
    <phoneticPr fontId="3" type="noConversion"/>
  </si>
  <si>
    <t>华漕社区学校</t>
    <phoneticPr fontId="4" type="noConversion"/>
  </si>
  <si>
    <t>七宝社区学校</t>
    <phoneticPr fontId="4" type="noConversion"/>
  </si>
  <si>
    <t>2023年镇管学校残疾就业保障金预算表</t>
    <phoneticPr fontId="3" type="noConversion"/>
  </si>
  <si>
    <t>序号</t>
    <phoneticPr fontId="11" type="noConversion"/>
  </si>
  <si>
    <t>学校名称</t>
    <phoneticPr fontId="11" type="noConversion"/>
  </si>
  <si>
    <t>所属街镇</t>
    <phoneticPr fontId="11" type="noConversion"/>
  </si>
  <si>
    <t>校区               门数</t>
    <phoneticPr fontId="11" type="noConversion"/>
  </si>
  <si>
    <t>在岗人数</t>
    <phoneticPr fontId="11" type="noConversion"/>
  </si>
  <si>
    <t>值班单价</t>
    <phoneticPr fontId="11" type="noConversion"/>
  </si>
  <si>
    <t>值班金额</t>
    <phoneticPr fontId="11" type="noConversion"/>
  </si>
  <si>
    <t>浦江镇</t>
    <phoneticPr fontId="11" type="noConversion"/>
  </si>
  <si>
    <t>浦江合计</t>
    <phoneticPr fontId="3" type="noConversion"/>
  </si>
  <si>
    <t>吴泾社区学校</t>
    <phoneticPr fontId="3" type="noConversion"/>
  </si>
  <si>
    <t>吴泾镇</t>
    <phoneticPr fontId="3" type="noConversion"/>
  </si>
  <si>
    <t>吴泾合计</t>
    <phoneticPr fontId="3" type="noConversion"/>
  </si>
  <si>
    <t>镇级合计</t>
    <phoneticPr fontId="3" type="noConversion"/>
  </si>
  <si>
    <t>浦江社区学校</t>
    <phoneticPr fontId="3" type="noConversion"/>
  </si>
  <si>
    <t>单 位</t>
  </si>
  <si>
    <t>属性2</t>
  </si>
  <si>
    <t>学段</t>
  </si>
  <si>
    <t>课后延时</t>
  </si>
  <si>
    <t>总绩效</t>
  </si>
  <si>
    <t>义务</t>
  </si>
  <si>
    <t>非义务</t>
  </si>
  <si>
    <t>社校</t>
  </si>
  <si>
    <t>上海市闵行区七宝文来学校</t>
  </si>
  <si>
    <t>上海市闵行区七宝明强幼儿园</t>
  </si>
  <si>
    <t>汇秀（新福山）</t>
  </si>
  <si>
    <t>上海市七宝中学附属闵行金都实验中学</t>
  </si>
  <si>
    <t>复旦大学附属闵行实验学校</t>
  </si>
  <si>
    <t>上海市闵行区梅陇永联幼儿园</t>
  </si>
  <si>
    <t>上海交通大学附属闵行马桥实验学校</t>
  </si>
  <si>
    <t>示范幼儿园</t>
  </si>
  <si>
    <t>其中：校长绩效工资项目</t>
    <phoneticPr fontId="3" type="noConversion"/>
  </si>
  <si>
    <t>2022年分配金额</t>
    <phoneticPr fontId="3" type="noConversion"/>
  </si>
  <si>
    <t>2022年核定金额</t>
    <phoneticPr fontId="3" type="noConversion"/>
  </si>
  <si>
    <t>合计（常规）</t>
    <phoneticPr fontId="3" type="noConversion"/>
  </si>
  <si>
    <t>莘庄小计</t>
    <phoneticPr fontId="3" type="noConversion"/>
  </si>
  <si>
    <t>吴泾小计</t>
    <phoneticPr fontId="3" type="noConversion"/>
  </si>
  <si>
    <t>浦江小计</t>
    <phoneticPr fontId="3" type="noConversion"/>
  </si>
  <si>
    <t>梅陇小计</t>
    <phoneticPr fontId="3" type="noConversion"/>
  </si>
  <si>
    <t>马桥小计</t>
    <phoneticPr fontId="3" type="noConversion"/>
  </si>
  <si>
    <t>华漕小计</t>
    <phoneticPr fontId="3" type="noConversion"/>
  </si>
  <si>
    <t>颛桥小计</t>
    <phoneticPr fontId="3" type="noConversion"/>
  </si>
  <si>
    <t>虹桥小计</t>
    <phoneticPr fontId="3" type="noConversion"/>
  </si>
  <si>
    <t>镇级合计</t>
    <phoneticPr fontId="3" type="noConversion"/>
  </si>
  <si>
    <r>
      <t>2022年</t>
    </r>
    <r>
      <rPr>
        <sz val="16"/>
        <rFont val="宋体"/>
        <family val="3"/>
        <charset val="134"/>
        <scheme val="minor"/>
      </rPr>
      <t>在编人员绩效（含课后延时）清算</t>
    </r>
    <phoneticPr fontId="3" type="noConversion"/>
  </si>
  <si>
    <t>七宝小计</t>
    <phoneticPr fontId="3" type="noConversion"/>
  </si>
  <si>
    <t>清算金额</t>
    <phoneticPr fontId="3" type="noConversion"/>
  </si>
  <si>
    <t xml:space="preserve">  浦航幼儿园</t>
    <phoneticPr fontId="4" type="noConversion"/>
  </si>
  <si>
    <t>浦江社区学校</t>
    <phoneticPr fontId="4" type="noConversion"/>
  </si>
  <si>
    <t>2023年基本支出预算表(浦江镇）</t>
    <phoneticPr fontId="4" type="noConversion"/>
  </si>
  <si>
    <t>梅陇中学</t>
    <phoneticPr fontId="3" type="noConversion"/>
  </si>
  <si>
    <t>金都实验中学</t>
    <phoneticPr fontId="4" type="noConversion"/>
  </si>
  <si>
    <t>晶城中学</t>
    <phoneticPr fontId="3" type="noConversion"/>
  </si>
  <si>
    <t>梅陇小学</t>
    <phoneticPr fontId="3" type="noConversion"/>
  </si>
  <si>
    <t>曹行小学</t>
    <phoneticPr fontId="3" type="noConversion"/>
  </si>
  <si>
    <t>罗阳小学</t>
    <phoneticPr fontId="3" type="noConversion"/>
  </si>
  <si>
    <t>蔷薇小学</t>
    <phoneticPr fontId="3" type="noConversion"/>
  </si>
  <si>
    <t>梅陇中心幼</t>
    <phoneticPr fontId="3" type="noConversion"/>
  </si>
  <si>
    <t>曹行中心幼</t>
    <phoneticPr fontId="3" type="noConversion"/>
  </si>
  <si>
    <t>春申景城幼</t>
    <phoneticPr fontId="3" type="noConversion"/>
  </si>
  <si>
    <t>晶采坊幼</t>
    <phoneticPr fontId="3" type="noConversion"/>
  </si>
  <si>
    <t>罗阳河畔幼</t>
    <phoneticPr fontId="3" type="noConversion"/>
  </si>
  <si>
    <t>晶华坊幼</t>
    <phoneticPr fontId="3" type="noConversion"/>
  </si>
  <si>
    <t>金都幼儿园</t>
    <phoneticPr fontId="3" type="noConversion"/>
  </si>
  <si>
    <t>梅锦幼儿园</t>
    <phoneticPr fontId="3" type="noConversion"/>
  </si>
  <si>
    <t>永联幼儿园</t>
    <phoneticPr fontId="4" type="noConversion"/>
  </si>
  <si>
    <t>梅陇社区学校</t>
    <phoneticPr fontId="3" type="noConversion"/>
  </si>
  <si>
    <t>罗阳中学</t>
    <phoneticPr fontId="4" type="noConversion"/>
  </si>
  <si>
    <t>项目内容</t>
  </si>
  <si>
    <t>项目明细</t>
  </si>
  <si>
    <t>数量</t>
  </si>
  <si>
    <t>单价</t>
  </si>
  <si>
    <t>金额</t>
  </si>
  <si>
    <t>2023年镇管单位幼儿教育教学项目（学前科）</t>
    <phoneticPr fontId="3" type="noConversion"/>
  </si>
  <si>
    <t>性质</t>
    <phoneticPr fontId="3" type="noConversion"/>
  </si>
  <si>
    <t>虹桥中心幼儿园</t>
    <phoneticPr fontId="3" type="noConversion"/>
  </si>
  <si>
    <t>公办</t>
    <phoneticPr fontId="3" type="noConversion"/>
  </si>
  <si>
    <t>优质幼儿园创建</t>
    <phoneticPr fontId="4" type="noConversion"/>
  </si>
  <si>
    <t>幼儿园办学等级创建</t>
    <phoneticPr fontId="4" type="noConversion"/>
  </si>
  <si>
    <t>一级幼儿园创建经费（镇管）</t>
    <phoneticPr fontId="4" type="noConversion"/>
  </si>
  <si>
    <t>龙柏二幼</t>
    <phoneticPr fontId="3" type="noConversion"/>
  </si>
  <si>
    <t>市示范幼儿园创建经费（镇管）</t>
    <phoneticPr fontId="4" type="noConversion"/>
  </si>
  <si>
    <t>幼儿园课程基地建设</t>
    <phoneticPr fontId="4" type="noConversion"/>
  </si>
  <si>
    <t>幼儿园课程建设经费（镇管）</t>
    <phoneticPr fontId="4" type="noConversion"/>
  </si>
  <si>
    <t>虹桥中心幼儿园</t>
  </si>
  <si>
    <t>幼儿发展</t>
    <phoneticPr fontId="4" type="noConversion"/>
  </si>
  <si>
    <t>全国足球特色幼儿园</t>
    <phoneticPr fontId="4" type="noConversion"/>
  </si>
  <si>
    <t>活动费（镇管）</t>
    <phoneticPr fontId="4" type="noConversion"/>
  </si>
  <si>
    <t>龙柏西郊幼儿园</t>
  </si>
  <si>
    <t>民办</t>
    <phoneticPr fontId="3" type="noConversion"/>
  </si>
  <si>
    <t>上海闵行区三之三古北幼儿园</t>
  </si>
  <si>
    <t>普惠性民办幼儿园维修专项补贴</t>
    <phoneticPr fontId="3" type="noConversion"/>
  </si>
  <si>
    <t>上海市金汇实验幼儿园</t>
    <phoneticPr fontId="60" type="noConversion"/>
  </si>
  <si>
    <t xml:space="preserve">上海市闵行区龙柏西郊幼儿园 </t>
  </si>
  <si>
    <t>上海闵行区小龙鱼幼儿园</t>
  </si>
  <si>
    <t>上海闵行欧顿锦绣幼儿园</t>
  </si>
  <si>
    <t>协和实验幼儿园</t>
    <phoneticPr fontId="3" type="noConversion"/>
  </si>
  <si>
    <t>民办幼儿园规范优质发展</t>
    <phoneticPr fontId="4" type="noConversion"/>
  </si>
  <si>
    <t>民办幼儿园园本课程建设</t>
    <phoneticPr fontId="4" type="noConversion"/>
  </si>
  <si>
    <t>民办幼儿园园本课程建设费（镇管）</t>
    <phoneticPr fontId="4" type="noConversion"/>
  </si>
  <si>
    <t>2023年镇管单位科艺体德项目（普教一科）</t>
    <phoneticPr fontId="3" type="noConversion"/>
  </si>
  <si>
    <t>预算单位</t>
  </si>
  <si>
    <t>闵行区虹桥中心小学</t>
    <phoneticPr fontId="3" type="noConversion"/>
  </si>
  <si>
    <t>学校体育工作</t>
  </si>
  <si>
    <t>技能等级测试</t>
  </si>
  <si>
    <t>学校少年宫</t>
  </si>
  <si>
    <t>运营管理补贴费</t>
  </si>
  <si>
    <t>德育“第一课堂”建设</t>
    <phoneticPr fontId="3" type="noConversion"/>
  </si>
  <si>
    <t>美育特色联盟</t>
  </si>
  <si>
    <t>师资培训、专家指导、学生艺术团建设等</t>
  </si>
  <si>
    <r>
      <t>2023</t>
    </r>
    <r>
      <rPr>
        <sz val="14"/>
        <rFont val="宋体"/>
        <family val="3"/>
        <charset val="134"/>
      </rPr>
      <t>年镇级单位中小学教育教学项目（普教二科）</t>
    </r>
    <phoneticPr fontId="4" type="noConversion"/>
  </si>
  <si>
    <t>所属街镇</t>
    <phoneticPr fontId="4" type="noConversion"/>
  </si>
  <si>
    <t>审核金额</t>
    <phoneticPr fontId="4" type="noConversion"/>
  </si>
  <si>
    <t>虹桥</t>
    <phoneticPr fontId="4" type="noConversion"/>
  </si>
  <si>
    <t>闵行区虹桥镇教育委员会</t>
    <phoneticPr fontId="4" type="noConversion"/>
  </si>
  <si>
    <t>学区化集团化建设</t>
  </si>
  <si>
    <t>学区化办学建设</t>
  </si>
  <si>
    <t>各学段针对学区建设发展开展的项目、活动等</t>
  </si>
  <si>
    <t>已沟通</t>
    <phoneticPr fontId="4" type="noConversion"/>
  </si>
  <si>
    <t>闵行区龙柏第一小学</t>
    <phoneticPr fontId="4" type="noConversion"/>
  </si>
  <si>
    <t>教育均衡发展－优质资源引进（中小学）</t>
  </si>
  <si>
    <t>教育均衡发展建设费</t>
  </si>
  <si>
    <t>协和教育集团托管费</t>
  </si>
  <si>
    <t>有协议</t>
    <phoneticPr fontId="4" type="noConversion"/>
  </si>
  <si>
    <t>上海市龙柏中学</t>
    <phoneticPr fontId="4" type="noConversion"/>
  </si>
  <si>
    <t>强校工程</t>
    <phoneticPr fontId="4" type="noConversion"/>
  </si>
  <si>
    <t>市级实验校（第二轮）</t>
    <phoneticPr fontId="4" type="noConversion"/>
  </si>
  <si>
    <t>教师课程领导力提升、课程建设及展示活动、校园育人空间提升</t>
    <phoneticPr fontId="4" type="noConversion"/>
  </si>
  <si>
    <t>第二轮市级实验校</t>
    <phoneticPr fontId="4" type="noConversion"/>
  </si>
  <si>
    <t>2023年镇管单位标准化考场项目（考试中心）</t>
    <phoneticPr fontId="3" type="noConversion"/>
  </si>
  <si>
    <t>一贯制</t>
    <phoneticPr fontId="3" type="noConversion"/>
  </si>
  <si>
    <t>标准化考场重大考试支持服务费</t>
  </si>
  <si>
    <t>重大考试保障服务费</t>
    <phoneticPr fontId="3" type="noConversion"/>
  </si>
  <si>
    <t>金汇实验</t>
    <phoneticPr fontId="3" type="noConversion"/>
  </si>
  <si>
    <t>项目明细</t>
    <phoneticPr fontId="3" type="noConversion"/>
  </si>
  <si>
    <t>镇级金额</t>
  </si>
  <si>
    <t>区骨干系列培养项目</t>
  </si>
  <si>
    <t>第六届骨干基地所在学校</t>
    <phoneticPr fontId="3" type="noConversion"/>
  </si>
  <si>
    <t>龙柏第一幼儿园</t>
  </si>
  <si>
    <t>第二届种子基地所在学校</t>
    <phoneticPr fontId="3" type="noConversion"/>
  </si>
  <si>
    <r>
      <t>2023</t>
    </r>
    <r>
      <rPr>
        <b/>
        <sz val="12"/>
        <rFont val="宋体"/>
        <family val="3"/>
        <charset val="134"/>
      </rPr>
      <t>年闵行教育系统镇管学校设备专项申请汇总表</t>
    </r>
    <phoneticPr fontId="3" type="noConversion"/>
  </si>
  <si>
    <r>
      <rPr>
        <b/>
        <sz val="10"/>
        <rFont val="宋体"/>
        <family val="3"/>
        <charset val="134"/>
      </rPr>
      <t>序号</t>
    </r>
  </si>
  <si>
    <t>所属街镇</t>
    <phoneticPr fontId="3" type="noConversion"/>
  </si>
  <si>
    <r>
      <rPr>
        <b/>
        <sz val="10"/>
        <rFont val="宋体"/>
        <family val="3"/>
        <charset val="134"/>
      </rPr>
      <t>办学类型</t>
    </r>
    <phoneticPr fontId="4" type="noConversion"/>
  </si>
  <si>
    <t>学校名称</t>
    <phoneticPr fontId="3" type="noConversion"/>
  </si>
  <si>
    <r>
      <rPr>
        <b/>
        <sz val="10"/>
        <rFont val="宋体"/>
        <family val="3"/>
        <charset val="134"/>
      </rPr>
      <t>项目名称</t>
    </r>
  </si>
  <si>
    <r>
      <rPr>
        <b/>
        <sz val="10"/>
        <rFont val="宋体"/>
        <family val="3"/>
        <charset val="134"/>
      </rPr>
      <t>项目内容</t>
    </r>
  </si>
  <si>
    <r>
      <rPr>
        <b/>
        <sz val="10"/>
        <rFont val="宋体"/>
        <family val="3"/>
        <charset val="134"/>
      </rPr>
      <t>项目明细</t>
    </r>
  </si>
  <si>
    <t>规格
型号</t>
    <phoneticPr fontId="3" type="noConversion"/>
  </si>
  <si>
    <r>
      <rPr>
        <b/>
        <sz val="10"/>
        <rFont val="宋体"/>
        <family val="3"/>
        <charset val="134"/>
      </rPr>
      <t>单价</t>
    </r>
  </si>
  <si>
    <r>
      <rPr>
        <b/>
        <sz val="10"/>
        <rFont val="宋体"/>
        <family val="3"/>
        <charset val="134"/>
      </rPr>
      <t>数量</t>
    </r>
  </si>
  <si>
    <r>
      <rPr>
        <b/>
        <sz val="10"/>
        <rFont val="宋体"/>
        <family val="3"/>
        <charset val="134"/>
      </rPr>
      <t>金额</t>
    </r>
  </si>
  <si>
    <r>
      <rPr>
        <b/>
        <sz val="10"/>
        <rFont val="宋体"/>
        <family val="3"/>
        <charset val="134"/>
      </rPr>
      <t>备注</t>
    </r>
  </si>
  <si>
    <r>
      <rPr>
        <sz val="10"/>
        <rFont val="宋体"/>
        <family val="3"/>
        <charset val="134"/>
      </rPr>
      <t>设备购置与更新</t>
    </r>
    <phoneticPr fontId="4" type="noConversion"/>
  </si>
  <si>
    <r>
      <rPr>
        <sz val="10"/>
        <rFont val="宋体"/>
        <family val="3"/>
        <charset val="134"/>
      </rPr>
      <t>设备购置与更新</t>
    </r>
  </si>
  <si>
    <r>
      <rPr>
        <sz val="10"/>
        <rFont val="宋体"/>
        <family val="3"/>
        <charset val="134"/>
      </rPr>
      <t>交互式多媒体设备更新</t>
    </r>
    <phoneticPr fontId="3" type="noConversion"/>
  </si>
  <si>
    <r>
      <rPr>
        <sz val="10"/>
        <rFont val="宋体"/>
        <family val="3"/>
        <charset val="134"/>
      </rPr>
      <t>初中</t>
    </r>
    <phoneticPr fontId="4" type="noConversion"/>
  </si>
  <si>
    <r>
      <t>80</t>
    </r>
    <r>
      <rPr>
        <sz val="10"/>
        <rFont val="宋体"/>
        <family val="3"/>
        <charset val="134"/>
      </rPr>
      <t>寸及以上交互式智能一体白板</t>
    </r>
    <phoneticPr fontId="3" type="noConversion"/>
  </si>
  <si>
    <r>
      <rPr>
        <sz val="10"/>
        <rFont val="宋体"/>
        <family val="3"/>
        <charset val="134"/>
      </rPr>
      <t>幼儿园</t>
    </r>
    <phoneticPr fontId="4" type="noConversion"/>
  </si>
  <si>
    <r>
      <rPr>
        <sz val="10"/>
        <rFont val="宋体"/>
        <family val="3"/>
        <charset val="134"/>
      </rPr>
      <t>幼儿专用活动室</t>
    </r>
    <phoneticPr fontId="3" type="noConversion"/>
  </si>
  <si>
    <r>
      <rPr>
        <sz val="10"/>
        <rFont val="宋体"/>
        <family val="3"/>
        <charset val="134"/>
      </rPr>
      <t>幼儿科探室</t>
    </r>
    <phoneticPr fontId="3" type="noConversion"/>
  </si>
  <si>
    <r>
      <rPr>
        <sz val="10"/>
        <rFont val="宋体"/>
        <family val="3"/>
        <charset val="134"/>
      </rPr>
      <t>虹桥镇</t>
    </r>
    <phoneticPr fontId="4" type="noConversion"/>
  </si>
  <si>
    <r>
      <rPr>
        <sz val="10"/>
        <rFont val="宋体"/>
        <family val="3"/>
        <charset val="134"/>
      </rPr>
      <t>上海市闵行区上虹中学</t>
    </r>
    <phoneticPr fontId="4" type="noConversion"/>
  </si>
  <si>
    <t>虹桥镇</t>
    <phoneticPr fontId="4" type="noConversion"/>
  </si>
  <si>
    <r>
      <rPr>
        <sz val="10"/>
        <rFont val="宋体"/>
        <family val="3"/>
        <charset val="134"/>
      </rPr>
      <t>虹桥中心幼儿园</t>
    </r>
    <phoneticPr fontId="4" type="noConversion"/>
  </si>
  <si>
    <r>
      <rPr>
        <sz val="10"/>
        <rFont val="宋体"/>
        <family val="3"/>
        <charset val="134"/>
      </rPr>
      <t>幼儿图书室</t>
    </r>
    <phoneticPr fontId="4" type="noConversion"/>
  </si>
  <si>
    <r>
      <rPr>
        <sz val="10"/>
        <rFont val="宋体"/>
        <family val="3"/>
        <charset val="134"/>
      </rPr>
      <t>批</t>
    </r>
    <phoneticPr fontId="4" type="noConversion"/>
  </si>
  <si>
    <r>
      <rPr>
        <sz val="10"/>
        <rFont val="宋体"/>
        <family val="3"/>
        <charset val="134"/>
      </rPr>
      <t>上海市闵行区虹鹿幼儿园</t>
    </r>
  </si>
  <si>
    <t>虹桥镇 汇总</t>
  </si>
  <si>
    <r>
      <t>2023</t>
    </r>
    <r>
      <rPr>
        <b/>
        <sz val="14"/>
        <color indexed="8"/>
        <rFont val="宋体"/>
        <family val="3"/>
        <charset val="134"/>
      </rPr>
      <t>年闵行教育系统镇管学校设备专项申请汇总表（理化实验室</t>
    </r>
    <r>
      <rPr>
        <b/>
        <sz val="14"/>
        <color indexed="8"/>
        <rFont val="Times New Roman"/>
        <family val="1"/>
      </rPr>
      <t>:</t>
    </r>
    <r>
      <rPr>
        <b/>
        <sz val="14"/>
        <color indexed="8"/>
        <rFont val="宋体"/>
        <family val="3"/>
        <charset val="134"/>
      </rPr>
      <t>除家具乡镇自行采购，其他教育局统一采购）</t>
    </r>
    <phoneticPr fontId="3" type="noConversion"/>
  </si>
  <si>
    <r>
      <rPr>
        <b/>
        <sz val="9"/>
        <color indexed="8"/>
        <rFont val="宋体"/>
        <family val="3"/>
        <charset val="134"/>
      </rPr>
      <t>单位名称</t>
    </r>
  </si>
  <si>
    <r>
      <rPr>
        <b/>
        <sz val="9"/>
        <color indexed="8"/>
        <rFont val="宋体"/>
        <family val="3"/>
        <charset val="134"/>
      </rPr>
      <t>项目名称</t>
    </r>
  </si>
  <si>
    <r>
      <rPr>
        <b/>
        <sz val="9"/>
        <color indexed="8"/>
        <rFont val="宋体"/>
        <family val="3"/>
        <charset val="134"/>
      </rPr>
      <t>项目内容</t>
    </r>
  </si>
  <si>
    <r>
      <rPr>
        <b/>
        <sz val="9"/>
        <color indexed="8"/>
        <rFont val="宋体"/>
        <family val="3"/>
        <charset val="134"/>
      </rPr>
      <t>项目明细</t>
    </r>
  </si>
  <si>
    <r>
      <rPr>
        <b/>
        <sz val="9"/>
        <color indexed="8"/>
        <rFont val="宋体"/>
        <family val="3"/>
        <charset val="134"/>
      </rPr>
      <t>规格型号</t>
    </r>
    <phoneticPr fontId="4" type="noConversion"/>
  </si>
  <si>
    <r>
      <rPr>
        <b/>
        <sz val="9"/>
        <color indexed="8"/>
        <rFont val="宋体"/>
        <family val="3"/>
        <charset val="134"/>
      </rPr>
      <t>单价</t>
    </r>
    <phoneticPr fontId="4" type="noConversion"/>
  </si>
  <si>
    <r>
      <rPr>
        <b/>
        <sz val="9"/>
        <color indexed="8"/>
        <rFont val="宋体"/>
        <family val="3"/>
        <charset val="134"/>
      </rPr>
      <t>数量</t>
    </r>
    <phoneticPr fontId="4" type="noConversion"/>
  </si>
  <si>
    <r>
      <rPr>
        <b/>
        <sz val="9"/>
        <color indexed="8"/>
        <rFont val="宋体"/>
        <family val="3"/>
        <charset val="134"/>
      </rPr>
      <t>金额</t>
    </r>
    <phoneticPr fontId="4" type="noConversion"/>
  </si>
  <si>
    <t>参考依据</t>
    <phoneticPr fontId="4" type="noConversion"/>
  </si>
  <si>
    <t>闵行区初中理化实验操作考试标准化考场设备</t>
    <phoneticPr fontId="4" type="noConversion"/>
  </si>
  <si>
    <t>理化实验室视频采集系统</t>
    <phoneticPr fontId="4" type="noConversion"/>
  </si>
  <si>
    <t>便携式可移动实验操作视频采集系统</t>
  </si>
  <si>
    <t>/</t>
    <phoneticPr fontId="4" type="noConversion"/>
  </si>
  <si>
    <t>参考财政局评审报告：《单个实验室“视频采集系统”预算明细及审核情况》</t>
    <phoneticPr fontId="4" type="noConversion"/>
  </si>
  <si>
    <t>闵行区初中理化实验操作考试标准化考场设备</t>
  </si>
  <si>
    <t>理化实验室视频采集系统</t>
  </si>
  <si>
    <t>学生视频采集终端</t>
  </si>
  <si>
    <t>显示器</t>
  </si>
  <si>
    <t>可拆卸挡板</t>
  </si>
  <si>
    <t>定制</t>
    <phoneticPr fontId="4" type="noConversion"/>
  </si>
  <si>
    <t>工控控制系统</t>
  </si>
  <si>
    <t>内置交换机</t>
  </si>
  <si>
    <t>华三Mini S8</t>
  </si>
  <si>
    <t>教师监考工作站</t>
  </si>
  <si>
    <t>联想ThinkStation K</t>
  </si>
  <si>
    <t>标准化考场视频巡查系统建设</t>
    <phoneticPr fontId="4" type="noConversion"/>
  </si>
  <si>
    <t>高清红外半球摄像机(实验室、侯考室、考务室和保密室）</t>
  </si>
  <si>
    <t>参考科委评审报告</t>
    <phoneticPr fontId="4" type="noConversion"/>
  </si>
  <si>
    <t>高清红外半球摄像机(通道、楼梯）</t>
  </si>
  <si>
    <t>高清红外筒形摄像机（通道）</t>
  </si>
  <si>
    <t>高清球形网络摄像机（校门口）</t>
  </si>
  <si>
    <t>拾音器</t>
  </si>
  <si>
    <t>校级三合一SIP服务器</t>
  </si>
  <si>
    <t>液晶显示器</t>
  </si>
  <si>
    <t>数字高清解码器</t>
  </si>
  <si>
    <t>网上巡查存储服务器</t>
  </si>
  <si>
    <t>存储硬盘</t>
  </si>
  <si>
    <t>希捷6T</t>
  </si>
  <si>
    <t>网上巡查平台管理软件</t>
  </si>
  <si>
    <t>管理终端</t>
  </si>
  <si>
    <t>联想启天M430-B473</t>
  </si>
  <si>
    <t>24口汇聚交换机</t>
  </si>
  <si>
    <t>华为S5735-L24T4X-A1</t>
  </si>
  <si>
    <t>24口接入交换机</t>
  </si>
  <si>
    <t>华为S5735-L24T4S-A1</t>
  </si>
  <si>
    <t>千兆光模块</t>
  </si>
  <si>
    <t>华为SFP-GE-SX-C</t>
  </si>
  <si>
    <t>万兆光模块</t>
  </si>
  <si>
    <t>华为OMXD30000</t>
  </si>
  <si>
    <t>网上巡查专网光缆</t>
  </si>
  <si>
    <t>22U网络机柜</t>
  </si>
  <si>
    <t>UPS（3KVA ）</t>
  </si>
  <si>
    <t>网上巡查网络点位</t>
  </si>
  <si>
    <t>网上巡查供电点位</t>
  </si>
  <si>
    <t>网上巡查音频点位</t>
  </si>
  <si>
    <t>网上巡查点位配套PVC管、线槽</t>
  </si>
  <si>
    <t>摄像机电源</t>
  </si>
  <si>
    <t>监控室外箱</t>
  </si>
  <si>
    <t xml:space="preserve">高清视频会议硬件终端 </t>
  </si>
  <si>
    <t>华为Box 300</t>
  </si>
  <si>
    <t>高清视频会议摄像机</t>
  </si>
  <si>
    <t>华为Camera 200</t>
  </si>
  <si>
    <t>全向麦克风</t>
  </si>
  <si>
    <t>华为Mic 500</t>
  </si>
  <si>
    <t>音箱</t>
  </si>
  <si>
    <t>飞利浦SPA5270B</t>
  </si>
  <si>
    <t>无线信号屏蔽终端</t>
  </si>
  <si>
    <t>金属探测仪</t>
  </si>
  <si>
    <t>考试网络环境建设</t>
    <phoneticPr fontId="4" type="noConversion"/>
  </si>
  <si>
    <t>考试网络环境建设</t>
  </si>
  <si>
    <t>考点实验室设备综合布线</t>
  </si>
  <si>
    <t>备份网络监控一体机</t>
  </si>
  <si>
    <r>
      <rPr>
        <sz val="9"/>
        <rFont val="宋体"/>
        <family val="3"/>
        <charset val="134"/>
      </rPr>
      <t>参考附件</t>
    </r>
    <r>
      <rPr>
        <sz val="9"/>
        <rFont val="Times New Roman"/>
        <family val="1"/>
      </rPr>
      <t>6</t>
    </r>
    <phoneticPr fontId="4" type="noConversion"/>
  </si>
  <si>
    <t>项目安装调试费1（含理化考试技术保障费）</t>
    <phoneticPr fontId="4" type="noConversion"/>
  </si>
  <si>
    <t>参考科委评审报告</t>
  </si>
  <si>
    <t>考试和评卷管理主要软件系统建设</t>
    <phoneticPr fontId="4" type="noConversion"/>
  </si>
  <si>
    <t>校端存储服务器</t>
  </si>
  <si>
    <t>考试和评卷管理主要软件系统建设</t>
  </si>
  <si>
    <t>初中理化实验实验操作考试考务抽签子系统</t>
  </si>
  <si>
    <t>初中理化实验操作考试教学教务系统</t>
  </si>
  <si>
    <t>考评系统辅助终端</t>
  </si>
  <si>
    <t>项目安装调试费2（含理化考试技术保障费）</t>
    <phoneticPr fontId="4" type="noConversion"/>
  </si>
  <si>
    <t>项目整体监理费</t>
    <phoneticPr fontId="4" type="noConversion"/>
  </si>
  <si>
    <t>项目监理费</t>
  </si>
  <si>
    <t>项目监理费（1%）</t>
    <phoneticPr fontId="4" type="noConversion"/>
  </si>
  <si>
    <t>财务监理费</t>
  </si>
  <si>
    <t>财务监理费（1%）</t>
    <phoneticPr fontId="4" type="noConversion"/>
  </si>
  <si>
    <t>小计</t>
    <phoneticPr fontId="3" type="noConversion"/>
  </si>
  <si>
    <t>化学实验室家具</t>
    <phoneticPr fontId="4" type="noConversion"/>
  </si>
  <si>
    <t>多功能柱</t>
  </si>
  <si>
    <t>340*200*720mm</t>
  </si>
  <si>
    <t>参考财政局评审报告：《单个实验室“实验室家具”预算明细及审核情况》</t>
    <phoneticPr fontId="4" type="noConversion"/>
  </si>
  <si>
    <t>教师演示讲台</t>
  </si>
  <si>
    <t>3000*700*900mm</t>
  </si>
  <si>
    <t>学生实验桌</t>
  </si>
  <si>
    <t>1200*600*780mm</t>
  </si>
  <si>
    <t>实践专用凳</t>
  </si>
  <si>
    <t>Φ315*450-500mm</t>
  </si>
  <si>
    <t>全新钢塑水槽柜（含龙头）</t>
  </si>
  <si>
    <t>450*580*790mm</t>
  </si>
  <si>
    <t>教师演示电源</t>
  </si>
  <si>
    <t>500mm*260mm</t>
  </si>
  <si>
    <t>学生安全电源</t>
  </si>
  <si>
    <t>270mm*70mm*45mm（±）</t>
  </si>
  <si>
    <t>物理实验室家具</t>
    <phoneticPr fontId="4" type="noConversion"/>
  </si>
  <si>
    <t>2022年镇管单位专项预算（培训专项）</t>
    <phoneticPr fontId="3" type="noConversion"/>
  </si>
  <si>
    <t>2023年镇级单位抚恤金专项预算（1-4月）</t>
    <phoneticPr fontId="3" type="noConversion"/>
  </si>
  <si>
    <t>序号</t>
    <phoneticPr fontId="4" type="noConversion"/>
  </si>
  <si>
    <t>性质</t>
  </si>
  <si>
    <t>学校名称</t>
    <phoneticPr fontId="4" type="noConversion"/>
  </si>
  <si>
    <t>学前（班级）</t>
    <phoneticPr fontId="4" type="noConversion"/>
  </si>
  <si>
    <t>学前（人数）</t>
    <phoneticPr fontId="4" type="noConversion"/>
  </si>
  <si>
    <t>小学（班级）</t>
    <phoneticPr fontId="4" type="noConversion"/>
  </si>
  <si>
    <t>小学（人数）</t>
    <phoneticPr fontId="4" type="noConversion"/>
  </si>
  <si>
    <t>一年级</t>
  </si>
  <si>
    <t>二年级</t>
  </si>
  <si>
    <t>三年级</t>
  </si>
  <si>
    <t>四年级</t>
  </si>
  <si>
    <t>五年级</t>
  </si>
  <si>
    <t>辅读班</t>
  </si>
  <si>
    <t>初中（班级）</t>
    <phoneticPr fontId="4" type="noConversion"/>
  </si>
  <si>
    <t>初中（人数）</t>
    <phoneticPr fontId="4" type="noConversion"/>
  </si>
  <si>
    <t>高中（班级）</t>
  </si>
  <si>
    <t>高中（人数）</t>
  </si>
  <si>
    <t>学生数合计</t>
    <phoneticPr fontId="4" type="noConversion"/>
  </si>
  <si>
    <t>教职工（人数）</t>
  </si>
  <si>
    <t>其中校长书记</t>
    <phoneticPr fontId="4" type="noConversion"/>
  </si>
  <si>
    <t>绩效</t>
    <phoneticPr fontId="4" type="noConversion"/>
  </si>
  <si>
    <t>分校</t>
    <phoneticPr fontId="4" type="noConversion"/>
  </si>
  <si>
    <t>公务车</t>
    <phoneticPr fontId="4" type="noConversion"/>
  </si>
  <si>
    <t>1-4月抚恤金</t>
    <phoneticPr fontId="3" type="noConversion"/>
  </si>
  <si>
    <t>初级中学</t>
  </si>
  <si>
    <t>九年一贯制</t>
  </si>
  <si>
    <t>工程量</t>
  </si>
  <si>
    <t>校舍修缮</t>
  </si>
  <si>
    <t>㎡</t>
  </si>
  <si>
    <t>m</t>
  </si>
  <si>
    <t>建筑物名称</t>
  </si>
  <si>
    <t>（一）建安费合计</t>
  </si>
  <si>
    <t>总投资（一）+（二）</t>
  </si>
  <si>
    <t>个</t>
  </si>
  <si>
    <t>座</t>
  </si>
  <si>
    <t>总计</t>
    <phoneticPr fontId="3" type="noConversion"/>
  </si>
  <si>
    <t>学校全称</t>
  </si>
  <si>
    <t>维修类型</t>
  </si>
  <si>
    <t>单价（元）</t>
  </si>
  <si>
    <t>合价（元）</t>
  </si>
  <si>
    <t>（二）工程建设其他费</t>
  </si>
  <si>
    <t>活动场地</t>
  </si>
  <si>
    <t>地址</t>
  </si>
  <si>
    <t>校舍修缮内容</t>
  </si>
  <si>
    <t>校舍维修</t>
  </si>
  <si>
    <t>2023年虹桥镇校舍修缮专项细化表</t>
  </si>
  <si>
    <t>兰竹路8号</t>
  </si>
  <si>
    <t>室外总体</t>
  </si>
  <si>
    <t>操场塑胶跑道</t>
  </si>
  <si>
    <t>无障碍坡道</t>
  </si>
  <si>
    <t>无障碍卫生间</t>
  </si>
  <si>
    <t>无障碍卫生间重新装修</t>
  </si>
  <si>
    <t>红松路81弄18号</t>
  </si>
  <si>
    <t>操场跑道</t>
  </si>
  <si>
    <t>操场跑道、南北侧场地</t>
  </si>
  <si>
    <t>更换操场排水沟盖板</t>
  </si>
  <si>
    <t>网球场</t>
  </si>
  <si>
    <t>网球场地维修</t>
  </si>
  <si>
    <t>网球场地重排排水沟</t>
  </si>
  <si>
    <t>网球场安全防护网网换新，立柱保留</t>
  </si>
  <si>
    <t>网球场背景墙涂料</t>
  </si>
  <si>
    <t>篮球场</t>
  </si>
  <si>
    <t>蓝球场地</t>
  </si>
  <si>
    <t>蓝球场地重排雨水管</t>
  </si>
  <si>
    <t>蓝球场地更换立缘石101米</t>
  </si>
  <si>
    <t>蓝球场地8个雨水口</t>
  </si>
  <si>
    <t>蓝球场安全防护网</t>
  </si>
  <si>
    <t>虹桥中心小学</t>
  </si>
  <si>
    <t>万源路2323号</t>
  </si>
  <si>
    <t>龙柏一幼分园</t>
  </si>
  <si>
    <t>龙柏三村90号</t>
  </si>
  <si>
    <t>室外排水工程</t>
  </si>
  <si>
    <t>室外雨水管</t>
  </si>
  <si>
    <t>室外污水管</t>
  </si>
  <si>
    <t>雨污水窨井</t>
  </si>
  <si>
    <t>污水检测井</t>
  </si>
  <si>
    <t>化粪池</t>
  </si>
  <si>
    <t>成品树脂明沟及盖板</t>
  </si>
  <si>
    <t>2022年闵行区龙柏第一幼儿园
暑期校舍维修项目</t>
  </si>
  <si>
    <t>虹桥小计</t>
    <phoneticPr fontId="3" type="noConversion"/>
  </si>
  <si>
    <t>总投资</t>
    <phoneticPr fontId="3" type="noConversion"/>
  </si>
  <si>
    <t>施工合同价</t>
    <phoneticPr fontId="3" type="noConversion"/>
  </si>
  <si>
    <t>工程审定价</t>
    <phoneticPr fontId="3" type="noConversion"/>
  </si>
  <si>
    <t>二类费用</t>
    <phoneticPr fontId="3" type="noConversion"/>
  </si>
  <si>
    <t>应执行金额费用</t>
    <phoneticPr fontId="3" type="noConversion"/>
  </si>
  <si>
    <t>已执行金额费用</t>
    <phoneticPr fontId="3" type="noConversion"/>
  </si>
  <si>
    <t>尾款清算金额费用</t>
    <phoneticPr fontId="3" type="noConversion"/>
  </si>
  <si>
    <t>2022年镇管学校部分校舍维修尾款清算</t>
    <phoneticPr fontId="3" type="noConversion"/>
  </si>
  <si>
    <t>实际下达
8折</t>
    <phoneticPr fontId="3" type="noConversion"/>
  </si>
  <si>
    <t>虹桥镇：</t>
    <phoneticPr fontId="4" type="noConversion"/>
  </si>
  <si>
    <t>项目</t>
    <phoneticPr fontId="4" type="noConversion"/>
  </si>
  <si>
    <t>合计</t>
    <phoneticPr fontId="4" type="noConversion"/>
  </si>
  <si>
    <t>设备购置与更新</t>
    <phoneticPr fontId="3" type="noConversion"/>
  </si>
  <si>
    <t>校舍维修</t>
    <phoneticPr fontId="3" type="noConversion"/>
  </si>
  <si>
    <t>幼儿教育教学</t>
    <phoneticPr fontId="3" type="noConversion"/>
  </si>
  <si>
    <t>科艺体德专项</t>
    <phoneticPr fontId="3" type="noConversion"/>
  </si>
  <si>
    <t>中小学教育教学</t>
    <phoneticPr fontId="3" type="noConversion"/>
  </si>
  <si>
    <t>标准化考场服务</t>
    <phoneticPr fontId="3" type="noConversion"/>
  </si>
  <si>
    <t>培训专项</t>
    <phoneticPr fontId="3" type="noConversion"/>
  </si>
  <si>
    <t>抚恤金</t>
    <phoneticPr fontId="3" type="noConversion"/>
  </si>
  <si>
    <t>2023年教育统筹经费第二次分配明细表</t>
    <phoneticPr fontId="3" type="noConversion"/>
  </si>
  <si>
    <t>二次分配</t>
    <phoneticPr fontId="3" type="noConversion"/>
  </si>
  <si>
    <t>单位：元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</si>
</sst>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43" formatCode="_ * #,##0.00_ ;_ * \-#,##0.00_ ;_ * &quot;-&quot;??_ ;_ @_ "/>
    <numFmt numFmtId="176" formatCode="0.00_ ;\-0.00;;"/>
    <numFmt numFmtId="177" formatCode="0.00_);[Red]\(0.00\)"/>
    <numFmt numFmtId="178" formatCode="0.00_ "/>
    <numFmt numFmtId="179" formatCode="0.000_ ;\-0;;"/>
    <numFmt numFmtId="180" formatCode="0.0_ "/>
    <numFmt numFmtId="181" formatCode="[$-409]d/mmm/yy;@"/>
    <numFmt numFmtId="182" formatCode="0_);[Red]\(0\)"/>
    <numFmt numFmtId="183" formatCode="0_ "/>
    <numFmt numFmtId="184" formatCode="[$-F800]dddd\,\ mmmm\ dd\,\ yyyy"/>
  </numFmts>
  <fonts count="110">
    <font>
      <sz val="11"/>
      <color theme="1"/>
      <name val="宋体"/>
      <family val="2"/>
      <charset val="134"/>
      <scheme val="minor"/>
    </font>
    <font>
      <b/>
      <sz val="11"/>
      <color theme="1"/>
      <name val="宋体"/>
      <family val="2"/>
      <charset val="134"/>
      <scheme val="minor"/>
    </font>
    <font>
      <b/>
      <sz val="20"/>
      <color indexed="8"/>
      <name val="宋体"/>
      <family val="3"/>
      <charset val="134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b/>
      <sz val="20"/>
      <name val="宋体"/>
      <family val="3"/>
      <charset val="134"/>
    </font>
    <font>
      <b/>
      <sz val="9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12"/>
      <name val="宋体"/>
      <family val="3"/>
      <charset val="134"/>
    </font>
    <font>
      <b/>
      <sz val="9"/>
      <name val="宋体"/>
      <family val="3"/>
      <charset val="134"/>
    </font>
    <font>
      <b/>
      <sz val="20"/>
      <color indexed="8"/>
      <name val="宋体"/>
      <family val="3"/>
      <charset val="134"/>
    </font>
    <font>
      <sz val="9"/>
      <name val="宋体"/>
      <family val="3"/>
      <charset val="134"/>
    </font>
    <font>
      <b/>
      <sz val="20"/>
      <name val="宋体"/>
      <family val="3"/>
      <charset val="134"/>
    </font>
    <font>
      <b/>
      <sz val="9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12"/>
      <name val="宋体"/>
      <family val="3"/>
      <charset val="134"/>
    </font>
    <font>
      <b/>
      <sz val="16"/>
      <color theme="1"/>
      <name val="宋体"/>
      <family val="3"/>
      <charset val="134"/>
      <scheme val="minor"/>
    </font>
    <font>
      <sz val="8"/>
      <color theme="1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sz val="8"/>
      <color theme="1"/>
      <name val="宋体"/>
      <family val="3"/>
      <charset val="134"/>
      <scheme val="minor"/>
    </font>
    <font>
      <sz val="10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2"/>
      <name val="宋体"/>
      <family val="3"/>
      <charset val="134"/>
    </font>
    <font>
      <sz val="12"/>
      <name val="宋体"/>
      <family val="3"/>
      <charset val="134"/>
    </font>
    <font>
      <sz val="10"/>
      <color indexed="8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0"/>
      <name val="宋体"/>
      <family val="3"/>
      <charset val="134"/>
    </font>
    <font>
      <sz val="12"/>
      <name val="Times New Roman"/>
      <family val="1"/>
    </font>
    <font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3"/>
      <color indexed="56"/>
      <name val="宋体"/>
      <family val="3"/>
      <charset val="134"/>
    </font>
    <font>
      <sz val="11"/>
      <color indexed="60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56"/>
      <name val="宋体"/>
      <family val="3"/>
      <charset val="134"/>
    </font>
    <font>
      <b/>
      <sz val="18"/>
      <color indexed="56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20"/>
      <name val="宋体"/>
      <family val="3"/>
      <charset val="134"/>
    </font>
    <font>
      <b/>
      <sz val="11"/>
      <color indexed="52"/>
      <name val="宋体"/>
      <family val="3"/>
      <charset val="134"/>
    </font>
    <font>
      <sz val="11"/>
      <color indexed="52"/>
      <name val="宋体"/>
      <family val="3"/>
      <charset val="134"/>
    </font>
    <font>
      <sz val="12"/>
      <color indexed="17"/>
      <name val="宋体"/>
      <family val="3"/>
      <charset val="134"/>
    </font>
    <font>
      <sz val="12"/>
      <color indexed="14"/>
      <name val="宋体"/>
      <family val="3"/>
      <charset val="134"/>
    </font>
    <font>
      <sz val="12"/>
      <color indexed="8"/>
      <name val="宋体"/>
      <family val="3"/>
      <charset val="134"/>
    </font>
    <font>
      <sz val="10"/>
      <name val="Arial"/>
      <family val="2"/>
    </font>
    <font>
      <sz val="11"/>
      <color indexed="14"/>
      <name val="宋体"/>
      <family val="3"/>
      <charset val="134"/>
    </font>
    <font>
      <u/>
      <sz val="14.4"/>
      <color indexed="12"/>
      <name val="宋体"/>
      <family val="3"/>
      <charset val="134"/>
    </font>
    <font>
      <sz val="11"/>
      <color indexed="8"/>
      <name val="等线"/>
      <charset val="134"/>
    </font>
    <font>
      <sz val="11"/>
      <color theme="1"/>
      <name val="等线"/>
      <charset val="134"/>
    </font>
    <font>
      <sz val="11"/>
      <color rgb="FF006100"/>
      <name val="宋体"/>
      <family val="3"/>
      <charset val="134"/>
      <scheme val="minor"/>
    </font>
    <font>
      <b/>
      <sz val="9"/>
      <name val="宋体"/>
      <family val="3"/>
      <charset val="134"/>
    </font>
    <font>
      <sz val="22"/>
      <color theme="1"/>
      <name val="宋体"/>
      <family val="2"/>
      <charset val="134"/>
      <scheme val="minor"/>
    </font>
    <font>
      <sz val="22"/>
      <color theme="1"/>
      <name val="宋体"/>
      <family val="3"/>
      <charset val="134"/>
      <scheme val="minor"/>
    </font>
    <font>
      <sz val="16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9"/>
      <name val="宋体"/>
      <family val="2"/>
      <charset val="134"/>
    </font>
    <font>
      <sz val="9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9"/>
      <color indexed="8"/>
      <name val="宋体"/>
      <family val="3"/>
      <charset val="134"/>
      <scheme val="minor"/>
    </font>
    <font>
      <sz val="9"/>
      <color theme="1"/>
      <name val="宋体"/>
      <family val="2"/>
      <charset val="134"/>
      <scheme val="minor"/>
    </font>
    <font>
      <sz val="9"/>
      <name val="黑体"/>
      <family val="3"/>
      <charset val="134"/>
    </font>
    <font>
      <u/>
      <sz val="11"/>
      <color theme="10"/>
      <name val="宋体"/>
      <family val="2"/>
      <charset val="134"/>
      <scheme val="minor"/>
    </font>
    <font>
      <u/>
      <sz val="9"/>
      <color rgb="FFFF0000"/>
      <name val="宋体"/>
      <family val="3"/>
      <charset val="134"/>
      <scheme val="minor"/>
    </font>
    <font>
      <sz val="16"/>
      <name val="宋体"/>
      <family val="2"/>
      <charset val="134"/>
      <scheme val="minor"/>
    </font>
    <font>
      <sz val="16"/>
      <name val="宋体"/>
      <family val="3"/>
      <charset val="134"/>
      <scheme val="minor"/>
    </font>
    <font>
      <sz val="11"/>
      <color theme="1"/>
      <name val="宋体"/>
      <family val="2"/>
      <charset val="134"/>
      <scheme val="minor"/>
    </font>
    <font>
      <sz val="14"/>
      <name val="宋体"/>
      <family val="3"/>
      <charset val="134"/>
    </font>
    <font>
      <sz val="9"/>
      <color theme="1"/>
      <name val="宋体"/>
      <family val="3"/>
      <charset val="134"/>
    </font>
    <font>
      <sz val="18"/>
      <name val="宋体"/>
      <family val="3"/>
      <charset val="134"/>
      <scheme val="major"/>
    </font>
    <font>
      <sz val="9"/>
      <name val="仿宋"/>
      <family val="3"/>
      <charset val="134"/>
    </font>
    <font>
      <sz val="9"/>
      <color theme="1"/>
      <name val="仿宋"/>
      <family val="3"/>
      <charset val="134"/>
    </font>
    <font>
      <b/>
      <sz val="9"/>
      <name val="仿宋"/>
      <family val="3"/>
      <charset val="134"/>
    </font>
    <font>
      <sz val="14"/>
      <name val="宋体"/>
      <family val="3"/>
      <charset val="134"/>
      <scheme val="minor"/>
    </font>
    <font>
      <b/>
      <sz val="9"/>
      <color theme="1"/>
      <name val="仿宋"/>
      <family val="3"/>
      <charset val="134"/>
    </font>
    <font>
      <sz val="14"/>
      <name val="Arial"/>
      <family val="2"/>
    </font>
    <font>
      <sz val="9"/>
      <name val="Arial"/>
      <family val="2"/>
    </font>
    <font>
      <sz val="9"/>
      <color rgb="FFFF0000"/>
      <name val="宋体"/>
      <family val="3"/>
      <charset val="134"/>
    </font>
    <font>
      <sz val="9"/>
      <color theme="1"/>
      <name val="Arial"/>
      <family val="2"/>
    </font>
    <font>
      <b/>
      <sz val="18"/>
      <color indexed="8"/>
      <name val="宋体"/>
      <family val="3"/>
      <charset val="134"/>
    </font>
    <font>
      <sz val="18"/>
      <color theme="1"/>
      <name val="宋体"/>
      <family val="3"/>
      <charset val="134"/>
      <scheme val="minor"/>
    </font>
    <font>
      <b/>
      <sz val="16"/>
      <color indexed="8"/>
      <name val="宋体"/>
      <family val="3"/>
      <charset val="134"/>
    </font>
    <font>
      <sz val="10"/>
      <color theme="1"/>
      <name val="宋体"/>
      <family val="3"/>
      <charset val="134"/>
      <scheme val="minor"/>
    </font>
    <font>
      <sz val="10"/>
      <color indexed="8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b/>
      <sz val="10"/>
      <color theme="1"/>
      <name val="宋体"/>
      <family val="3"/>
      <charset val="134"/>
      <scheme val="minor"/>
    </font>
    <font>
      <b/>
      <sz val="12"/>
      <name val="Times New Roman"/>
      <family val="1"/>
    </font>
    <font>
      <b/>
      <sz val="10"/>
      <name val="Times New Roman"/>
      <family val="1"/>
    </font>
    <font>
      <b/>
      <sz val="10"/>
      <name val="宋体"/>
      <family val="3"/>
      <charset val="134"/>
    </font>
    <font>
      <sz val="10"/>
      <name val="Times New Roman"/>
      <family val="1"/>
    </font>
    <font>
      <b/>
      <sz val="14"/>
      <color indexed="8"/>
      <name val="Times New Roman"/>
      <family val="1"/>
    </font>
    <font>
      <b/>
      <sz val="14"/>
      <color indexed="8"/>
      <name val="宋体"/>
      <family val="3"/>
      <charset val="134"/>
    </font>
    <font>
      <b/>
      <sz val="9"/>
      <color indexed="8"/>
      <name val="Times New Roman"/>
      <family val="1"/>
    </font>
    <font>
      <b/>
      <sz val="9"/>
      <name val="Times New Roman"/>
      <family val="1"/>
    </font>
    <font>
      <sz val="9"/>
      <name val="Times New Roman"/>
      <family val="1"/>
    </font>
    <font>
      <sz val="16"/>
      <name val="宋体"/>
      <family val="3"/>
      <charset val="134"/>
    </font>
    <font>
      <sz val="10"/>
      <name val="仿宋_GB2312"/>
      <charset val="134"/>
    </font>
    <font>
      <sz val="1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9"/>
      <name val="宋体"/>
      <family val="3"/>
      <charset val="134"/>
      <scheme val="minor"/>
    </font>
    <font>
      <b/>
      <sz val="16"/>
      <name val="宋体"/>
      <family val="3"/>
      <charset val="134"/>
      <scheme val="minor"/>
    </font>
    <font>
      <sz val="9"/>
      <color rgb="FFFF0000"/>
      <name val="宋体"/>
      <family val="3"/>
      <charset val="134"/>
      <scheme val="minor"/>
    </font>
    <font>
      <sz val="16"/>
      <color theme="1"/>
      <name val="宋体"/>
      <family val="2"/>
      <charset val="134"/>
      <scheme val="minor"/>
    </font>
    <font>
      <b/>
      <sz val="16"/>
      <name val="宋体"/>
      <family val="3"/>
      <charset val="134"/>
      <scheme val="major"/>
    </font>
    <font>
      <sz val="14"/>
      <name val="仿宋"/>
      <family val="3"/>
      <charset val="134"/>
    </font>
    <font>
      <sz val="12"/>
      <name val="仿宋"/>
      <family val="3"/>
      <charset val="134"/>
    </font>
    <font>
      <sz val="12"/>
      <color theme="1"/>
      <name val="仿宋"/>
      <family val="3"/>
      <charset val="134"/>
    </font>
    <font>
      <sz val="14"/>
      <color theme="1"/>
      <name val="仿宋"/>
      <family val="3"/>
      <charset val="134"/>
    </font>
  </fonts>
  <fills count="31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FF"/>
        <bgColor rgb="FFFFFFFF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</borders>
  <cellStyleXfs count="2014">
    <xf numFmtId="0" fontId="0" fillId="0" borderId="0">
      <alignment vertical="center"/>
    </xf>
    <xf numFmtId="0" fontId="20" fillId="0" borderId="0"/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>
      <alignment vertical="center"/>
    </xf>
    <xf numFmtId="0" fontId="28" fillId="4" borderId="0">
      <alignment vertical="center"/>
    </xf>
    <xf numFmtId="0" fontId="28" fillId="4" borderId="0">
      <alignment vertical="center"/>
    </xf>
    <xf numFmtId="0" fontId="21" fillId="4" borderId="0">
      <alignment vertical="center"/>
    </xf>
    <xf numFmtId="0" fontId="21" fillId="4" borderId="0">
      <alignment vertical="center"/>
    </xf>
    <xf numFmtId="0" fontId="28" fillId="4" borderId="0">
      <alignment vertical="center"/>
    </xf>
    <xf numFmtId="0" fontId="21" fillId="4" borderId="0">
      <alignment vertical="center"/>
    </xf>
    <xf numFmtId="0" fontId="21" fillId="4" borderId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>
      <alignment vertical="center"/>
    </xf>
    <xf numFmtId="0" fontId="28" fillId="5" borderId="0">
      <alignment vertical="center"/>
    </xf>
    <xf numFmtId="0" fontId="28" fillId="5" borderId="0">
      <alignment vertical="center"/>
    </xf>
    <xf numFmtId="0" fontId="21" fillId="5" borderId="0">
      <alignment vertical="center"/>
    </xf>
    <xf numFmtId="0" fontId="21" fillId="5" borderId="0">
      <alignment vertical="center"/>
    </xf>
    <xf numFmtId="0" fontId="28" fillId="5" borderId="0">
      <alignment vertical="center"/>
    </xf>
    <xf numFmtId="0" fontId="21" fillId="5" borderId="0">
      <alignment vertical="center"/>
    </xf>
    <xf numFmtId="0" fontId="21" fillId="5" borderId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>
      <alignment vertical="center"/>
    </xf>
    <xf numFmtId="0" fontId="28" fillId="6" borderId="0">
      <alignment vertical="center"/>
    </xf>
    <xf numFmtId="0" fontId="28" fillId="6" borderId="0">
      <alignment vertical="center"/>
    </xf>
    <xf numFmtId="0" fontId="21" fillId="6" borderId="0">
      <alignment vertical="center"/>
    </xf>
    <xf numFmtId="0" fontId="21" fillId="6" borderId="0">
      <alignment vertical="center"/>
    </xf>
    <xf numFmtId="0" fontId="28" fillId="6" borderId="0">
      <alignment vertical="center"/>
    </xf>
    <xf numFmtId="0" fontId="21" fillId="6" borderId="0">
      <alignment vertical="center"/>
    </xf>
    <xf numFmtId="0" fontId="21" fillId="6" borderId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>
      <alignment vertical="center"/>
    </xf>
    <xf numFmtId="0" fontId="28" fillId="8" borderId="0">
      <alignment vertical="center"/>
    </xf>
    <xf numFmtId="0" fontId="28" fillId="8" borderId="0">
      <alignment vertical="center"/>
    </xf>
    <xf numFmtId="0" fontId="21" fillId="8" borderId="0">
      <alignment vertical="center"/>
    </xf>
    <xf numFmtId="0" fontId="21" fillId="8" borderId="0">
      <alignment vertical="center"/>
    </xf>
    <xf numFmtId="0" fontId="28" fillId="8" borderId="0">
      <alignment vertical="center"/>
    </xf>
    <xf numFmtId="0" fontId="21" fillId="8" borderId="0">
      <alignment vertical="center"/>
    </xf>
    <xf numFmtId="0" fontId="21" fillId="8" borderId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>
      <alignment vertical="center"/>
    </xf>
    <xf numFmtId="0" fontId="28" fillId="9" borderId="0">
      <alignment vertical="center"/>
    </xf>
    <xf numFmtId="0" fontId="28" fillId="9" borderId="0">
      <alignment vertical="center"/>
    </xf>
    <xf numFmtId="0" fontId="21" fillId="9" borderId="0">
      <alignment vertical="center"/>
    </xf>
    <xf numFmtId="0" fontId="21" fillId="9" borderId="0">
      <alignment vertical="center"/>
    </xf>
    <xf numFmtId="0" fontId="28" fillId="9" borderId="0">
      <alignment vertical="center"/>
    </xf>
    <xf numFmtId="0" fontId="21" fillId="9" borderId="0">
      <alignment vertical="center"/>
    </xf>
    <xf numFmtId="0" fontId="21" fillId="9" borderId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>
      <alignment vertical="center"/>
    </xf>
    <xf numFmtId="0" fontId="28" fillId="11" borderId="0">
      <alignment vertical="center"/>
    </xf>
    <xf numFmtId="0" fontId="28" fillId="11" borderId="0">
      <alignment vertical="center"/>
    </xf>
    <xf numFmtId="0" fontId="21" fillId="11" borderId="0">
      <alignment vertical="center"/>
    </xf>
    <xf numFmtId="0" fontId="21" fillId="11" borderId="0">
      <alignment vertical="center"/>
    </xf>
    <xf numFmtId="0" fontId="28" fillId="11" borderId="0">
      <alignment vertical="center"/>
    </xf>
    <xf numFmtId="0" fontId="21" fillId="11" borderId="0">
      <alignment vertical="center"/>
    </xf>
    <xf numFmtId="0" fontId="21" fillId="11" borderId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>
      <alignment vertical="center"/>
    </xf>
    <xf numFmtId="0" fontId="28" fillId="12" borderId="0">
      <alignment vertical="center"/>
    </xf>
    <xf numFmtId="0" fontId="28" fillId="12" borderId="0">
      <alignment vertical="center"/>
    </xf>
    <xf numFmtId="0" fontId="21" fillId="12" borderId="0">
      <alignment vertical="center"/>
    </xf>
    <xf numFmtId="0" fontId="21" fillId="12" borderId="0">
      <alignment vertical="center"/>
    </xf>
    <xf numFmtId="0" fontId="28" fillId="12" borderId="0">
      <alignment vertical="center"/>
    </xf>
    <xf numFmtId="0" fontId="21" fillId="12" borderId="0">
      <alignment vertical="center"/>
    </xf>
    <xf numFmtId="0" fontId="21" fillId="12" borderId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>
      <alignment vertical="center"/>
    </xf>
    <xf numFmtId="0" fontId="28" fillId="13" borderId="0">
      <alignment vertical="center"/>
    </xf>
    <xf numFmtId="0" fontId="28" fillId="13" borderId="0">
      <alignment vertical="center"/>
    </xf>
    <xf numFmtId="0" fontId="21" fillId="13" borderId="0">
      <alignment vertical="center"/>
    </xf>
    <xf numFmtId="0" fontId="21" fillId="13" borderId="0">
      <alignment vertical="center"/>
    </xf>
    <xf numFmtId="0" fontId="28" fillId="13" borderId="0">
      <alignment vertical="center"/>
    </xf>
    <xf numFmtId="0" fontId="21" fillId="13" borderId="0">
      <alignment vertical="center"/>
    </xf>
    <xf numFmtId="0" fontId="21" fillId="13" borderId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>
      <alignment vertical="center"/>
    </xf>
    <xf numFmtId="0" fontId="29" fillId="14" borderId="0">
      <alignment vertical="center"/>
    </xf>
    <xf numFmtId="0" fontId="29" fillId="14" borderId="0">
      <alignment vertical="center"/>
    </xf>
    <xf numFmtId="0" fontId="29" fillId="14" borderId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>
      <alignment vertical="center"/>
    </xf>
    <xf numFmtId="0" fontId="29" fillId="11" borderId="0">
      <alignment vertical="center"/>
    </xf>
    <xf numFmtId="0" fontId="29" fillId="11" borderId="0">
      <alignment vertical="center"/>
    </xf>
    <xf numFmtId="0" fontId="29" fillId="11" borderId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>
      <alignment vertical="center"/>
    </xf>
    <xf numFmtId="0" fontId="29" fillId="12" borderId="0">
      <alignment vertical="center"/>
    </xf>
    <xf numFmtId="0" fontId="29" fillId="12" borderId="0">
      <alignment vertical="center"/>
    </xf>
    <xf numFmtId="0" fontId="29" fillId="12" borderId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>
      <alignment vertical="center"/>
    </xf>
    <xf numFmtId="0" fontId="29" fillId="18" borderId="0">
      <alignment vertical="center"/>
    </xf>
    <xf numFmtId="0" fontId="29" fillId="18" borderId="0">
      <alignment vertical="center"/>
    </xf>
    <xf numFmtId="0" fontId="29" fillId="18" borderId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8" fillId="0" borderId="0" applyFont="0" applyFill="0" applyBorder="0" applyAlignment="0" applyProtection="0">
      <alignment vertical="center"/>
    </xf>
    <xf numFmtId="9" fontId="28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8" fillId="0" borderId="0" applyFont="0" applyFill="0" applyBorder="0" applyAlignment="0" applyProtection="0">
      <alignment vertical="center"/>
    </xf>
    <xf numFmtId="9" fontId="28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>
      <alignment vertical="center"/>
    </xf>
    <xf numFmtId="0" fontId="39" fillId="0" borderId="5">
      <alignment vertical="center"/>
    </xf>
    <xf numFmtId="0" fontId="39" fillId="0" borderId="5">
      <alignment vertical="center"/>
    </xf>
    <xf numFmtId="0" fontId="39" fillId="0" borderId="5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>
      <alignment vertical="center"/>
    </xf>
    <xf numFmtId="0" fontId="30" fillId="0" borderId="6">
      <alignment vertical="center"/>
    </xf>
    <xf numFmtId="0" fontId="30" fillId="0" borderId="6">
      <alignment vertical="center"/>
    </xf>
    <xf numFmtId="0" fontId="30" fillId="0" borderId="6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>
      <alignment vertical="center"/>
    </xf>
    <xf numFmtId="0" fontId="36" fillId="0" borderId="7">
      <alignment vertical="center"/>
    </xf>
    <xf numFmtId="0" fontId="36" fillId="0" borderId="7">
      <alignment vertical="center"/>
    </xf>
    <xf numFmtId="0" fontId="36" fillId="0" borderId="7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>
      <alignment vertical="center"/>
    </xf>
    <xf numFmtId="0" fontId="41" fillId="5" borderId="0">
      <alignment vertical="center"/>
    </xf>
    <xf numFmtId="0" fontId="41" fillId="5" borderId="0">
      <alignment vertical="center"/>
    </xf>
    <xf numFmtId="0" fontId="41" fillId="5" borderId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23" fillId="0" borderId="0">
      <alignment vertical="center"/>
    </xf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3" fillId="0" borderId="0">
      <alignment vertical="center"/>
    </xf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>
      <alignment vertical="center"/>
    </xf>
    <xf numFmtId="0" fontId="1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2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47" fillId="0" borderId="0"/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5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51" fillId="0" borderId="0">
      <alignment vertical="center"/>
    </xf>
    <xf numFmtId="0" fontId="26" fillId="0" borderId="0"/>
    <xf numFmtId="0" fontId="26" fillId="0" borderId="0"/>
    <xf numFmtId="0" fontId="5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8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8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9" fillId="0" borderId="0" applyNumberFormat="0" applyFill="0" applyBorder="0" applyAlignment="0" applyProtection="0">
      <alignment vertical="top"/>
      <protection locked="0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>
      <alignment vertical="center"/>
    </xf>
    <xf numFmtId="0" fontId="35" fillId="6" borderId="0">
      <alignment vertical="center"/>
    </xf>
    <xf numFmtId="0" fontId="35" fillId="6" borderId="0">
      <alignment vertical="center"/>
    </xf>
    <xf numFmtId="0" fontId="35" fillId="6" borderId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52" fillId="28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>
      <alignment vertical="center"/>
    </xf>
    <xf numFmtId="0" fontId="25" fillId="0" borderId="8">
      <alignment vertical="center"/>
    </xf>
    <xf numFmtId="0" fontId="25" fillId="0" borderId="8">
      <alignment vertical="center"/>
    </xf>
    <xf numFmtId="0" fontId="25" fillId="0" borderId="8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>
      <alignment vertical="center"/>
    </xf>
    <xf numFmtId="0" fontId="42" fillId="19" borderId="9">
      <alignment vertical="center"/>
    </xf>
    <xf numFmtId="0" fontId="42" fillId="19" borderId="9">
      <alignment vertical="center"/>
    </xf>
    <xf numFmtId="0" fontId="42" fillId="19" borderId="9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>
      <alignment vertical="center"/>
    </xf>
    <xf numFmtId="0" fontId="33" fillId="20" borderId="10">
      <alignment vertical="center"/>
    </xf>
    <xf numFmtId="0" fontId="33" fillId="20" borderId="10">
      <alignment vertical="center"/>
    </xf>
    <xf numFmtId="0" fontId="33" fillId="20" borderId="1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>
      <alignment vertical="center"/>
    </xf>
    <xf numFmtId="0" fontId="43" fillId="0" borderId="11">
      <alignment vertical="center"/>
    </xf>
    <xf numFmtId="0" fontId="43" fillId="0" borderId="11">
      <alignment vertical="center"/>
    </xf>
    <xf numFmtId="0" fontId="43" fillId="0" borderId="11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50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6" fillId="0" borderId="0"/>
    <xf numFmtId="43" fontId="46" fillId="0" borderId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6" fillId="0" borderId="0"/>
    <xf numFmtId="43" fontId="46" fillId="0" borderId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8" fillId="0" borderId="0" applyFont="0" applyFill="0" applyBorder="0" applyAlignment="0" applyProtection="0">
      <alignment vertical="center"/>
    </xf>
    <xf numFmtId="43" fontId="28" fillId="0" borderId="0" applyFont="0" applyFill="0" applyBorder="0" applyAlignment="0" applyProtection="0">
      <alignment vertical="center"/>
    </xf>
    <xf numFmtId="43" fontId="21" fillId="0" borderId="0" applyFont="0" applyFill="0" applyBorder="0" applyAlignment="0" applyProtection="0">
      <alignment vertical="center"/>
    </xf>
    <xf numFmtId="43" fontId="21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50" fillId="0" borderId="0" applyFont="0" applyFill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>
      <alignment vertical="center"/>
    </xf>
    <xf numFmtId="0" fontId="29" fillId="21" borderId="0">
      <alignment vertical="center"/>
    </xf>
    <xf numFmtId="0" fontId="29" fillId="21" borderId="0">
      <alignment vertical="center"/>
    </xf>
    <xf numFmtId="0" fontId="29" fillId="21" borderId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>
      <alignment vertical="center"/>
    </xf>
    <xf numFmtId="0" fontId="29" fillId="22" borderId="0">
      <alignment vertical="center"/>
    </xf>
    <xf numFmtId="0" fontId="29" fillId="22" borderId="0">
      <alignment vertical="center"/>
    </xf>
    <xf numFmtId="0" fontId="29" fillId="22" borderId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>
      <alignment vertical="center"/>
    </xf>
    <xf numFmtId="0" fontId="29" fillId="24" borderId="0">
      <alignment vertical="center"/>
    </xf>
    <xf numFmtId="0" fontId="29" fillId="24" borderId="0">
      <alignment vertical="center"/>
    </xf>
    <xf numFmtId="0" fontId="29" fillId="24" borderId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>
      <alignment vertical="center"/>
    </xf>
    <xf numFmtId="0" fontId="29" fillId="25" borderId="0">
      <alignment vertical="center"/>
    </xf>
    <xf numFmtId="0" fontId="29" fillId="25" borderId="0">
      <alignment vertical="center"/>
    </xf>
    <xf numFmtId="0" fontId="29" fillId="25" borderId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>
      <alignment vertical="center"/>
    </xf>
    <xf numFmtId="0" fontId="31" fillId="26" borderId="0">
      <alignment vertical="center"/>
    </xf>
    <xf numFmtId="0" fontId="31" fillId="26" borderId="0">
      <alignment vertical="center"/>
    </xf>
    <xf numFmtId="0" fontId="31" fillId="26" borderId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>
      <alignment vertical="center"/>
    </xf>
    <xf numFmtId="0" fontId="40" fillId="19" borderId="12">
      <alignment vertical="center"/>
    </xf>
    <xf numFmtId="0" fontId="40" fillId="19" borderId="12">
      <alignment vertical="center"/>
    </xf>
    <xf numFmtId="0" fontId="40" fillId="19" borderId="12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>
      <alignment vertical="center"/>
    </xf>
    <xf numFmtId="0" fontId="38" fillId="9" borderId="9">
      <alignment vertical="center"/>
    </xf>
    <xf numFmtId="0" fontId="38" fillId="9" borderId="9">
      <alignment vertical="center"/>
    </xf>
    <xf numFmtId="0" fontId="38" fillId="9" borderId="9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27" fillId="0" borderId="0"/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>
      <alignment vertical="center"/>
    </xf>
    <xf numFmtId="0" fontId="28" fillId="27" borderId="13">
      <alignment vertical="center"/>
    </xf>
    <xf numFmtId="0" fontId="28" fillId="27" borderId="13">
      <alignment vertical="center"/>
    </xf>
    <xf numFmtId="0" fontId="21" fillId="27" borderId="13">
      <alignment vertical="center"/>
    </xf>
    <xf numFmtId="0" fontId="21" fillId="27" borderId="13">
      <alignment vertical="center"/>
    </xf>
    <xf numFmtId="0" fontId="28" fillId="27" borderId="13">
      <alignment vertical="center"/>
    </xf>
    <xf numFmtId="0" fontId="21" fillId="27" borderId="13">
      <alignment vertical="center"/>
    </xf>
    <xf numFmtId="0" fontId="21" fillId="27" borderId="13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43" fontId="68" fillId="0" borderId="0" applyFont="0" applyFill="0" applyBorder="0" applyAlignment="0" applyProtection="0">
      <alignment vertical="center"/>
    </xf>
    <xf numFmtId="176" fontId="68" fillId="0" borderId="0">
      <alignment vertical="center"/>
    </xf>
    <xf numFmtId="176" fontId="18" fillId="0" borderId="0">
      <alignment vertical="center"/>
    </xf>
    <xf numFmtId="176" fontId="68" fillId="0" borderId="0">
      <alignment vertical="center"/>
    </xf>
    <xf numFmtId="176" fontId="68" fillId="0" borderId="0">
      <alignment vertical="center"/>
    </xf>
    <xf numFmtId="43" fontId="23" fillId="0" borderId="0" applyFont="0" applyFill="0" applyBorder="0" applyAlignment="0" applyProtection="0">
      <alignment vertical="center"/>
    </xf>
    <xf numFmtId="0" fontId="23" fillId="0" borderId="0"/>
    <xf numFmtId="0" fontId="59" fillId="0" borderId="0" applyBorder="0"/>
    <xf numFmtId="180" fontId="23" fillId="0" borderId="0" applyFont="0" applyFill="0" applyBorder="0" applyAlignment="0" applyProtection="0">
      <alignment vertical="center"/>
    </xf>
    <xf numFmtId="180" fontId="23" fillId="0" borderId="0" applyFont="0" applyFill="0" applyBorder="0" applyAlignment="0" applyProtection="0">
      <alignment vertical="center"/>
    </xf>
    <xf numFmtId="0" fontId="23" fillId="0" borderId="0"/>
    <xf numFmtId="180" fontId="23" fillId="0" borderId="0" applyFont="0" applyFill="0" applyBorder="0" applyAlignment="0" applyProtection="0">
      <alignment vertical="center"/>
    </xf>
    <xf numFmtId="0" fontId="23" fillId="0" borderId="0"/>
  </cellStyleXfs>
  <cellXfs count="397">
    <xf numFmtId="0" fontId="0" fillId="0" borderId="0" xfId="0">
      <alignment vertical="center"/>
    </xf>
    <xf numFmtId="0" fontId="4" fillId="2" borderId="0" xfId="0" applyFont="1" applyFill="1" applyAlignment="1" applyProtection="1">
      <protection locked="0"/>
    </xf>
    <xf numFmtId="0" fontId="6" fillId="2" borderId="1" xfId="0" applyNumberFormat="1" applyFont="1" applyFill="1" applyBorder="1" applyAlignment="1" applyProtection="1">
      <alignment horizontal="center" vertical="center"/>
      <protection locked="0"/>
    </xf>
    <xf numFmtId="0" fontId="6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6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7" fillId="2" borderId="1" xfId="0" applyNumberFormat="1" applyFont="1" applyFill="1" applyBorder="1" applyAlignment="1" applyProtection="1">
      <alignment horizontal="center"/>
      <protection locked="0"/>
    </xf>
    <xf numFmtId="49" fontId="7" fillId="2" borderId="1" xfId="0" applyNumberFormat="1" applyFont="1" applyFill="1" applyBorder="1" applyAlignment="1" applyProtection="1">
      <protection locked="0"/>
    </xf>
    <xf numFmtId="49" fontId="7" fillId="2" borderId="1" xfId="0" applyNumberFormat="1" applyFont="1" applyFill="1" applyBorder="1" applyAlignment="1" applyProtection="1">
      <alignment wrapText="1"/>
      <protection locked="0"/>
    </xf>
    <xf numFmtId="176" fontId="8" fillId="2" borderId="1" xfId="0" applyNumberFormat="1" applyFont="1" applyFill="1" applyBorder="1" applyAlignment="1" applyProtection="1"/>
    <xf numFmtId="49" fontId="8" fillId="2" borderId="1" xfId="0" applyNumberFormat="1" applyFont="1" applyFill="1" applyBorder="1" applyAlignment="1" applyProtection="1">
      <alignment wrapText="1"/>
      <protection locked="0"/>
    </xf>
    <xf numFmtId="176" fontId="8" fillId="2" borderId="1" xfId="0" applyNumberFormat="1" applyFont="1" applyFill="1" applyBorder="1" applyAlignment="1" applyProtection="1">
      <protection locked="0"/>
    </xf>
    <xf numFmtId="49" fontId="8" fillId="2" borderId="1" xfId="0" applyNumberFormat="1" applyFont="1" applyFill="1" applyBorder="1" applyAlignment="1" applyProtection="1">
      <alignment horizontal="left" wrapText="1"/>
      <protection locked="0"/>
    </xf>
    <xf numFmtId="49" fontId="8" fillId="2" borderId="1" xfId="0" applyNumberFormat="1" applyFont="1" applyFill="1" applyBorder="1" applyAlignment="1" applyProtection="1">
      <protection locked="0"/>
    </xf>
    <xf numFmtId="0" fontId="8" fillId="2" borderId="0" xfId="0" applyFont="1" applyFill="1" applyAlignment="1" applyProtection="1">
      <protection locked="0"/>
    </xf>
    <xf numFmtId="49" fontId="4" fillId="2" borderId="1" xfId="0" applyNumberFormat="1" applyFont="1" applyFill="1" applyBorder="1" applyAlignment="1" applyProtection="1">
      <protection locked="0"/>
    </xf>
    <xf numFmtId="49" fontId="4" fillId="2" borderId="1" xfId="0" applyNumberFormat="1" applyFont="1" applyFill="1" applyBorder="1" applyAlignment="1" applyProtection="1">
      <alignment wrapText="1"/>
      <protection locked="0"/>
    </xf>
    <xf numFmtId="176" fontId="4" fillId="2" borderId="1" xfId="0" applyNumberFormat="1" applyFont="1" applyFill="1" applyBorder="1" applyAlignment="1" applyProtection="1">
      <protection locked="0"/>
    </xf>
    <xf numFmtId="176" fontId="4" fillId="2" borderId="1" xfId="0" applyNumberFormat="1" applyFont="1" applyFill="1" applyBorder="1" applyAlignment="1" applyProtection="1"/>
    <xf numFmtId="177" fontId="8" fillId="2" borderId="1" xfId="0" applyNumberFormat="1" applyFont="1" applyFill="1" applyBorder="1" applyAlignment="1" applyProtection="1">
      <protection locked="0"/>
    </xf>
    <xf numFmtId="176" fontId="8" fillId="3" borderId="1" xfId="0" applyNumberFormat="1" applyFont="1" applyFill="1" applyBorder="1" applyAlignment="1" applyProtection="1"/>
    <xf numFmtId="0" fontId="4" fillId="2" borderId="1" xfId="0" applyFont="1" applyFill="1" applyBorder="1" applyAlignment="1" applyProtection="1">
      <alignment wrapText="1"/>
      <protection locked="0"/>
    </xf>
    <xf numFmtId="0" fontId="8" fillId="2" borderId="1" xfId="0" applyFont="1" applyFill="1" applyBorder="1" applyAlignment="1" applyProtection="1">
      <alignment wrapText="1"/>
      <protection locked="0"/>
    </xf>
    <xf numFmtId="176" fontId="8" fillId="3" borderId="1" xfId="0" applyNumberFormat="1" applyFont="1" applyFill="1" applyBorder="1" applyAlignment="1" applyProtection="1">
      <protection locked="0"/>
    </xf>
    <xf numFmtId="177" fontId="4" fillId="2" borderId="1" xfId="0" applyNumberFormat="1" applyFont="1" applyFill="1" applyBorder="1" applyAlignment="1" applyProtection="1">
      <protection locked="0"/>
    </xf>
    <xf numFmtId="49" fontId="7" fillId="2" borderId="2" xfId="0" applyNumberFormat="1" applyFont="1" applyFill="1" applyBorder="1" applyAlignment="1" applyProtection="1">
      <alignment vertical="center"/>
      <protection locked="0"/>
    </xf>
    <xf numFmtId="0" fontId="4" fillId="2" borderId="2" xfId="0" applyFont="1" applyFill="1" applyBorder="1" applyAlignment="1" applyProtection="1">
      <alignment wrapText="1"/>
      <protection locked="0"/>
    </xf>
    <xf numFmtId="176" fontId="4" fillId="2" borderId="2" xfId="0" applyNumberFormat="1" applyFont="1" applyFill="1" applyBorder="1" applyAlignment="1" applyProtection="1">
      <protection locked="0"/>
    </xf>
    <xf numFmtId="49" fontId="4" fillId="2" borderId="2" xfId="0" applyNumberFormat="1" applyFont="1" applyFill="1" applyBorder="1" applyAlignment="1" applyProtection="1">
      <alignment wrapText="1"/>
      <protection locked="0"/>
    </xf>
    <xf numFmtId="49" fontId="7" fillId="2" borderId="3" xfId="0" applyNumberFormat="1" applyFont="1" applyFill="1" applyBorder="1" applyAlignment="1" applyProtection="1">
      <alignment vertical="center"/>
      <protection locked="0"/>
    </xf>
    <xf numFmtId="0" fontId="4" fillId="2" borderId="3" xfId="0" applyFont="1" applyFill="1" applyBorder="1" applyAlignment="1" applyProtection="1">
      <alignment wrapText="1"/>
      <protection locked="0"/>
    </xf>
    <xf numFmtId="176" fontId="4" fillId="2" borderId="3" xfId="0" applyNumberFormat="1" applyFont="1" applyFill="1" applyBorder="1" applyAlignment="1" applyProtection="1">
      <protection locked="0"/>
    </xf>
    <xf numFmtId="49" fontId="4" fillId="2" borderId="3" xfId="0" applyNumberFormat="1" applyFont="1" applyFill="1" applyBorder="1" applyAlignment="1" applyProtection="1">
      <alignment wrapText="1"/>
      <protection locked="0"/>
    </xf>
    <xf numFmtId="49" fontId="7" fillId="2" borderId="1" xfId="0" applyNumberFormat="1" applyFont="1" applyFill="1" applyBorder="1" applyAlignment="1" applyProtection="1">
      <alignment horizontal="left"/>
      <protection locked="0"/>
    </xf>
    <xf numFmtId="178" fontId="4" fillId="2" borderId="1" xfId="0" applyNumberFormat="1" applyFont="1" applyFill="1" applyBorder="1" applyAlignment="1" applyProtection="1">
      <protection locked="0"/>
    </xf>
    <xf numFmtId="0" fontId="4" fillId="2" borderId="0" xfId="0" applyFont="1" applyFill="1" applyAlignment="1" applyProtection="1">
      <alignment horizontal="center"/>
      <protection locked="0"/>
    </xf>
    <xf numFmtId="0" fontId="4" fillId="2" borderId="0" xfId="0" applyFont="1" applyFill="1" applyAlignment="1" applyProtection="1">
      <alignment wrapText="1"/>
      <protection locked="0"/>
    </xf>
    <xf numFmtId="176" fontId="4" fillId="2" borderId="0" xfId="0" applyNumberFormat="1" applyFont="1" applyFill="1" applyAlignment="1" applyProtection="1">
      <protection locked="0"/>
    </xf>
    <xf numFmtId="0" fontId="9" fillId="3" borderId="1" xfId="0" applyNumberFormat="1" applyFont="1" applyFill="1" applyBorder="1" applyAlignment="1" applyProtection="1">
      <alignment horizontal="center" vertical="center"/>
      <protection locked="0"/>
    </xf>
    <xf numFmtId="0" fontId="11" fillId="2" borderId="0" xfId="0" applyFont="1" applyFill="1" applyAlignment="1" applyProtection="1">
      <protection locked="0"/>
    </xf>
    <xf numFmtId="0" fontId="13" fillId="2" borderId="1" xfId="0" applyNumberFormat="1" applyFont="1" applyFill="1" applyBorder="1" applyAlignment="1" applyProtection="1">
      <alignment horizontal="center" vertical="center"/>
      <protection locked="0"/>
    </xf>
    <xf numFmtId="0" fontId="13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13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14" fillId="2" borderId="1" xfId="0" applyNumberFormat="1" applyFont="1" applyFill="1" applyBorder="1" applyAlignment="1" applyProtection="1">
      <alignment horizontal="center"/>
      <protection locked="0"/>
    </xf>
    <xf numFmtId="49" fontId="14" fillId="2" borderId="1" xfId="0" applyNumberFormat="1" applyFont="1" applyFill="1" applyBorder="1" applyAlignment="1" applyProtection="1">
      <protection locked="0"/>
    </xf>
    <xf numFmtId="49" fontId="14" fillId="2" borderId="1" xfId="0" applyNumberFormat="1" applyFont="1" applyFill="1" applyBorder="1" applyAlignment="1" applyProtection="1">
      <alignment wrapText="1"/>
      <protection locked="0"/>
    </xf>
    <xf numFmtId="176" fontId="15" fillId="2" borderId="1" xfId="0" applyNumberFormat="1" applyFont="1" applyFill="1" applyBorder="1" applyAlignment="1" applyProtection="1"/>
    <xf numFmtId="49" fontId="15" fillId="2" borderId="1" xfId="0" applyNumberFormat="1" applyFont="1" applyFill="1" applyBorder="1" applyAlignment="1" applyProtection="1">
      <alignment wrapText="1"/>
      <protection locked="0"/>
    </xf>
    <xf numFmtId="176" fontId="15" fillId="2" borderId="1" xfId="0" applyNumberFormat="1" applyFont="1" applyFill="1" applyBorder="1" applyAlignment="1" applyProtection="1">
      <protection locked="0"/>
    </xf>
    <xf numFmtId="49" fontId="15" fillId="2" borderId="1" xfId="0" applyNumberFormat="1" applyFont="1" applyFill="1" applyBorder="1" applyAlignment="1" applyProtection="1">
      <alignment horizontal="left" wrapText="1"/>
      <protection locked="0"/>
    </xf>
    <xf numFmtId="49" fontId="15" fillId="2" borderId="1" xfId="0" applyNumberFormat="1" applyFont="1" applyFill="1" applyBorder="1" applyAlignment="1" applyProtection="1">
      <protection locked="0"/>
    </xf>
    <xf numFmtId="0" fontId="15" fillId="2" borderId="0" xfId="0" applyFont="1" applyFill="1" applyAlignment="1" applyProtection="1">
      <protection locked="0"/>
    </xf>
    <xf numFmtId="49" fontId="11" fillId="2" borderId="1" xfId="0" applyNumberFormat="1" applyFont="1" applyFill="1" applyBorder="1" applyAlignment="1" applyProtection="1">
      <protection locked="0"/>
    </xf>
    <xf numFmtId="49" fontId="11" fillId="2" borderId="1" xfId="0" applyNumberFormat="1" applyFont="1" applyFill="1" applyBorder="1" applyAlignment="1" applyProtection="1">
      <alignment wrapText="1"/>
      <protection locked="0"/>
    </xf>
    <xf numFmtId="176" fontId="11" fillId="2" borderId="1" xfId="0" applyNumberFormat="1" applyFont="1" applyFill="1" applyBorder="1" applyAlignment="1" applyProtection="1">
      <protection locked="0"/>
    </xf>
    <xf numFmtId="176" fontId="11" fillId="2" borderId="1" xfId="0" applyNumberFormat="1" applyFont="1" applyFill="1" applyBorder="1" applyAlignment="1" applyProtection="1"/>
    <xf numFmtId="177" fontId="15" fillId="2" borderId="1" xfId="0" applyNumberFormat="1" applyFont="1" applyFill="1" applyBorder="1" applyAlignment="1" applyProtection="1">
      <protection locked="0"/>
    </xf>
    <xf numFmtId="0" fontId="11" fillId="2" borderId="1" xfId="0" applyFont="1" applyFill="1" applyBorder="1" applyAlignment="1" applyProtection="1">
      <alignment wrapText="1"/>
      <protection locked="0"/>
    </xf>
    <xf numFmtId="0" fontId="15" fillId="2" borderId="1" xfId="0" applyFont="1" applyFill="1" applyBorder="1" applyAlignment="1" applyProtection="1">
      <alignment wrapText="1"/>
      <protection locked="0"/>
    </xf>
    <xf numFmtId="177" fontId="11" fillId="2" borderId="1" xfId="0" applyNumberFormat="1" applyFont="1" applyFill="1" applyBorder="1" applyAlignment="1" applyProtection="1">
      <protection locked="0"/>
    </xf>
    <xf numFmtId="49" fontId="14" fillId="2" borderId="2" xfId="0" applyNumberFormat="1" applyFont="1" applyFill="1" applyBorder="1" applyAlignment="1" applyProtection="1">
      <alignment vertical="center"/>
      <protection locked="0"/>
    </xf>
    <xf numFmtId="0" fontId="11" fillId="2" borderId="2" xfId="0" applyFont="1" applyFill="1" applyBorder="1" applyAlignment="1" applyProtection="1">
      <alignment wrapText="1"/>
      <protection locked="0"/>
    </xf>
    <xf numFmtId="176" fontId="11" fillId="2" borderId="2" xfId="0" applyNumberFormat="1" applyFont="1" applyFill="1" applyBorder="1" applyAlignment="1" applyProtection="1">
      <protection locked="0"/>
    </xf>
    <xf numFmtId="49" fontId="11" fillId="2" borderId="2" xfId="0" applyNumberFormat="1" applyFont="1" applyFill="1" applyBorder="1" applyAlignment="1" applyProtection="1">
      <alignment wrapText="1"/>
      <protection locked="0"/>
    </xf>
    <xf numFmtId="49" fontId="14" fillId="2" borderId="3" xfId="0" applyNumberFormat="1" applyFont="1" applyFill="1" applyBorder="1" applyAlignment="1" applyProtection="1">
      <alignment vertical="center"/>
      <protection locked="0"/>
    </xf>
    <xf numFmtId="0" fontId="11" fillId="2" borderId="3" xfId="0" applyFont="1" applyFill="1" applyBorder="1" applyAlignment="1" applyProtection="1">
      <alignment wrapText="1"/>
      <protection locked="0"/>
    </xf>
    <xf numFmtId="176" fontId="11" fillId="2" borderId="3" xfId="0" applyNumberFormat="1" applyFont="1" applyFill="1" applyBorder="1" applyAlignment="1" applyProtection="1">
      <protection locked="0"/>
    </xf>
    <xf numFmtId="49" fontId="11" fillId="2" borderId="3" xfId="0" applyNumberFormat="1" applyFont="1" applyFill="1" applyBorder="1" applyAlignment="1" applyProtection="1">
      <alignment wrapText="1"/>
      <protection locked="0"/>
    </xf>
    <xf numFmtId="49" fontId="14" fillId="2" borderId="1" xfId="0" applyNumberFormat="1" applyFont="1" applyFill="1" applyBorder="1" applyAlignment="1" applyProtection="1">
      <alignment horizontal="left"/>
      <protection locked="0"/>
    </xf>
    <xf numFmtId="178" fontId="11" fillId="2" borderId="1" xfId="0" applyNumberFormat="1" applyFont="1" applyFill="1" applyBorder="1" applyAlignment="1" applyProtection="1">
      <protection locked="0"/>
    </xf>
    <xf numFmtId="0" fontId="11" fillId="2" borderId="0" xfId="0" applyFont="1" applyFill="1" applyAlignment="1" applyProtection="1">
      <alignment horizontal="center"/>
      <protection locked="0"/>
    </xf>
    <xf numFmtId="0" fontId="11" fillId="2" borderId="0" xfId="0" applyFont="1" applyFill="1" applyAlignment="1" applyProtection="1">
      <alignment wrapText="1"/>
      <protection locked="0"/>
    </xf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0" fontId="18" fillId="0" borderId="1" xfId="0" applyFont="1" applyFill="1" applyBorder="1" applyAlignment="1">
      <alignment horizontal="center" vertical="center"/>
    </xf>
    <xf numFmtId="0" fontId="19" fillId="0" borderId="1" xfId="0" applyFont="1" applyBorder="1">
      <alignment vertical="center"/>
    </xf>
    <xf numFmtId="0" fontId="0" fillId="0" borderId="1" xfId="0" applyBorder="1">
      <alignment vertical="center"/>
    </xf>
    <xf numFmtId="0" fontId="1" fillId="0" borderId="1" xfId="0" applyNumberFormat="1" applyFont="1" applyBorder="1">
      <alignment vertical="center"/>
    </xf>
    <xf numFmtId="0" fontId="1" fillId="0" borderId="1" xfId="0" applyFont="1" applyBorder="1">
      <alignment vertical="center"/>
    </xf>
    <xf numFmtId="0" fontId="0" fillId="0" borderId="0" xfId="0" applyAlignment="1">
      <alignment horizontal="center" vertical="center"/>
    </xf>
    <xf numFmtId="178" fontId="0" fillId="0" borderId="0" xfId="0" applyNumberFormat="1" applyAlignment="1">
      <alignment horizontal="right" vertical="center"/>
    </xf>
    <xf numFmtId="0" fontId="17" fillId="0" borderId="1" xfId="0" applyFont="1" applyBorder="1" applyAlignment="1">
      <alignment horizontal="center" vertical="center"/>
    </xf>
    <xf numFmtId="178" fontId="18" fillId="0" borderId="1" xfId="0" applyNumberFormat="1" applyFont="1" applyBorder="1" applyAlignment="1">
      <alignment horizontal="center" vertical="center"/>
    </xf>
    <xf numFmtId="0" fontId="0" fillId="3" borderId="1" xfId="0" applyNumberFormat="1" applyFill="1" applyBorder="1">
      <alignment vertical="center"/>
    </xf>
    <xf numFmtId="0" fontId="0" fillId="0" borderId="1" xfId="0" applyNumberFormat="1" applyBorder="1" applyAlignment="1">
      <alignment horizontal="right" vertical="center"/>
    </xf>
    <xf numFmtId="0" fontId="0" fillId="0" borderId="1" xfId="0" applyNumberFormat="1" applyBorder="1" applyAlignment="1">
      <alignment vertical="center"/>
    </xf>
    <xf numFmtId="0" fontId="4" fillId="3" borderId="0" xfId="0" applyFont="1" applyFill="1" applyAlignment="1" applyProtection="1">
      <protection locked="0"/>
    </xf>
    <xf numFmtId="0" fontId="6" fillId="3" borderId="1" xfId="0" applyNumberFormat="1" applyFont="1" applyFill="1" applyBorder="1" applyAlignment="1" applyProtection="1">
      <alignment horizontal="center" vertical="center"/>
      <protection locked="0"/>
    </xf>
    <xf numFmtId="0" fontId="6" fillId="3" borderId="1" xfId="0" applyNumberFormat="1" applyFont="1" applyFill="1" applyBorder="1" applyAlignment="1" applyProtection="1">
      <alignment horizontal="center" vertical="center" wrapText="1"/>
      <protection locked="0"/>
    </xf>
    <xf numFmtId="49" fontId="6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7" fillId="3" borderId="1" xfId="0" applyNumberFormat="1" applyFont="1" applyFill="1" applyBorder="1" applyAlignment="1" applyProtection="1">
      <alignment horizontal="center"/>
      <protection locked="0"/>
    </xf>
    <xf numFmtId="49" fontId="7" fillId="3" borderId="1" xfId="0" applyNumberFormat="1" applyFont="1" applyFill="1" applyBorder="1" applyAlignment="1" applyProtection="1">
      <protection locked="0"/>
    </xf>
    <xf numFmtId="49" fontId="7" fillId="3" borderId="1" xfId="0" applyNumberFormat="1" applyFont="1" applyFill="1" applyBorder="1" applyAlignment="1" applyProtection="1">
      <alignment wrapText="1"/>
      <protection locked="0"/>
    </xf>
    <xf numFmtId="49" fontId="8" fillId="3" borderId="1" xfId="0" applyNumberFormat="1" applyFont="1" applyFill="1" applyBorder="1" applyAlignment="1" applyProtection="1">
      <alignment wrapText="1"/>
      <protection locked="0"/>
    </xf>
    <xf numFmtId="49" fontId="8" fillId="3" borderId="1" xfId="0" applyNumberFormat="1" applyFont="1" applyFill="1" applyBorder="1" applyAlignment="1" applyProtection="1">
      <alignment horizontal="left" wrapText="1"/>
      <protection locked="0"/>
    </xf>
    <xf numFmtId="49" fontId="8" fillId="3" borderId="1" xfId="0" applyNumberFormat="1" applyFont="1" applyFill="1" applyBorder="1" applyAlignment="1" applyProtection="1">
      <protection locked="0"/>
    </xf>
    <xf numFmtId="0" fontId="8" fillId="3" borderId="0" xfId="0" applyFont="1" applyFill="1" applyAlignment="1" applyProtection="1">
      <protection locked="0"/>
    </xf>
    <xf numFmtId="49" fontId="4" fillId="3" borderId="1" xfId="0" applyNumberFormat="1" applyFont="1" applyFill="1" applyBorder="1" applyAlignment="1" applyProtection="1">
      <protection locked="0"/>
    </xf>
    <xf numFmtId="49" fontId="4" fillId="3" borderId="1" xfId="0" applyNumberFormat="1" applyFont="1" applyFill="1" applyBorder="1" applyAlignment="1" applyProtection="1">
      <alignment wrapText="1"/>
      <protection locked="0"/>
    </xf>
    <xf numFmtId="176" fontId="4" fillId="3" borderId="1" xfId="0" applyNumberFormat="1" applyFont="1" applyFill="1" applyBorder="1" applyAlignment="1" applyProtection="1">
      <protection locked="0"/>
    </xf>
    <xf numFmtId="176" fontId="4" fillId="3" borderId="1" xfId="0" applyNumberFormat="1" applyFont="1" applyFill="1" applyBorder="1" applyAlignment="1" applyProtection="1"/>
    <xf numFmtId="177" fontId="8" fillId="3" borderId="1" xfId="0" applyNumberFormat="1" applyFont="1" applyFill="1" applyBorder="1" applyAlignment="1" applyProtection="1">
      <protection locked="0"/>
    </xf>
    <xf numFmtId="0" fontId="4" fillId="3" borderId="1" xfId="0" applyFont="1" applyFill="1" applyBorder="1" applyAlignment="1" applyProtection="1">
      <alignment wrapText="1"/>
      <protection locked="0"/>
    </xf>
    <xf numFmtId="0" fontId="8" fillId="3" borderId="1" xfId="0" applyFont="1" applyFill="1" applyBorder="1" applyAlignment="1" applyProtection="1">
      <alignment wrapText="1"/>
      <protection locked="0"/>
    </xf>
    <xf numFmtId="177" fontId="4" fillId="3" borderId="1" xfId="0" applyNumberFormat="1" applyFont="1" applyFill="1" applyBorder="1" applyAlignment="1" applyProtection="1">
      <protection locked="0"/>
    </xf>
    <xf numFmtId="49" fontId="7" fillId="3" borderId="2" xfId="0" applyNumberFormat="1" applyFont="1" applyFill="1" applyBorder="1" applyAlignment="1" applyProtection="1">
      <alignment vertical="center"/>
      <protection locked="0"/>
    </xf>
    <xf numFmtId="0" fontId="4" fillId="3" borderId="2" xfId="0" applyFont="1" applyFill="1" applyBorder="1" applyAlignment="1" applyProtection="1">
      <alignment wrapText="1"/>
      <protection locked="0"/>
    </xf>
    <xf numFmtId="176" fontId="4" fillId="3" borderId="2" xfId="0" applyNumberFormat="1" applyFont="1" applyFill="1" applyBorder="1" applyAlignment="1" applyProtection="1">
      <protection locked="0"/>
    </xf>
    <xf numFmtId="49" fontId="4" fillId="3" borderId="2" xfId="0" applyNumberFormat="1" applyFont="1" applyFill="1" applyBorder="1" applyAlignment="1" applyProtection="1">
      <alignment wrapText="1"/>
      <protection locked="0"/>
    </xf>
    <xf numFmtId="49" fontId="7" fillId="3" borderId="3" xfId="0" applyNumberFormat="1" applyFont="1" applyFill="1" applyBorder="1" applyAlignment="1" applyProtection="1">
      <alignment vertical="center"/>
      <protection locked="0"/>
    </xf>
    <xf numFmtId="0" fontId="4" fillId="3" borderId="3" xfId="0" applyFont="1" applyFill="1" applyBorder="1" applyAlignment="1" applyProtection="1">
      <alignment wrapText="1"/>
      <protection locked="0"/>
    </xf>
    <xf numFmtId="176" fontId="4" fillId="3" borderId="3" xfId="0" applyNumberFormat="1" applyFont="1" applyFill="1" applyBorder="1" applyAlignment="1" applyProtection="1">
      <protection locked="0"/>
    </xf>
    <xf numFmtId="49" fontId="4" fillId="3" borderId="3" xfId="0" applyNumberFormat="1" applyFont="1" applyFill="1" applyBorder="1" applyAlignment="1" applyProtection="1">
      <alignment wrapText="1"/>
      <protection locked="0"/>
    </xf>
    <xf numFmtId="49" fontId="7" fillId="3" borderId="1" xfId="0" applyNumberFormat="1" applyFont="1" applyFill="1" applyBorder="1" applyAlignment="1" applyProtection="1">
      <alignment horizontal="left"/>
      <protection locked="0"/>
    </xf>
    <xf numFmtId="178" fontId="4" fillId="3" borderId="1" xfId="0" applyNumberFormat="1" applyFont="1" applyFill="1" applyBorder="1" applyAlignment="1" applyProtection="1">
      <protection locked="0"/>
    </xf>
    <xf numFmtId="0" fontId="4" fillId="3" borderId="0" xfId="0" applyFont="1" applyFill="1" applyAlignment="1" applyProtection="1">
      <alignment horizontal="center"/>
      <protection locked="0"/>
    </xf>
    <xf numFmtId="0" fontId="4" fillId="3" borderId="0" xfId="0" applyFont="1" applyFill="1" applyAlignment="1" applyProtection="1">
      <alignment wrapText="1"/>
      <protection locked="0"/>
    </xf>
    <xf numFmtId="0" fontId="4" fillId="2" borderId="1" xfId="0" applyFont="1" applyFill="1" applyBorder="1" applyAlignment="1" applyProtection="1">
      <protection locked="0"/>
    </xf>
    <xf numFmtId="0" fontId="8" fillId="2" borderId="1" xfId="0" applyFont="1" applyFill="1" applyBorder="1" applyAlignment="1" applyProtection="1">
      <protection locked="0"/>
    </xf>
    <xf numFmtId="0" fontId="53" fillId="2" borderId="1" xfId="0" applyFont="1" applyFill="1" applyBorder="1" applyAlignment="1" applyProtection="1">
      <alignment horizontal="center" vertical="center"/>
      <protection locked="0"/>
    </xf>
    <xf numFmtId="0" fontId="53" fillId="2" borderId="0" xfId="0" applyFont="1" applyFill="1" applyAlignment="1" applyProtection="1">
      <alignment vertical="center"/>
      <protection locked="0"/>
    </xf>
    <xf numFmtId="179" fontId="8" fillId="2" borderId="1" xfId="0" applyNumberFormat="1" applyFont="1" applyFill="1" applyBorder="1" applyAlignment="1" applyProtection="1">
      <protection locked="0"/>
    </xf>
    <xf numFmtId="178" fontId="8" fillId="2" borderId="1" xfId="0" applyNumberFormat="1" applyFont="1" applyFill="1" applyBorder="1" applyAlignment="1" applyProtection="1">
      <protection locked="0"/>
    </xf>
    <xf numFmtId="0" fontId="4" fillId="2" borderId="1" xfId="0" applyNumberFormat="1" applyFont="1" applyFill="1" applyBorder="1" applyAlignment="1" applyProtection="1">
      <protection locked="0"/>
    </xf>
    <xf numFmtId="0" fontId="18" fillId="0" borderId="0" xfId="0" applyFont="1">
      <alignment vertical="center"/>
    </xf>
    <xf numFmtId="0" fontId="57" fillId="0" borderId="15" xfId="0" applyFont="1" applyBorder="1" applyAlignment="1">
      <alignment horizontal="center" vertical="center"/>
    </xf>
    <xf numFmtId="0" fontId="18" fillId="0" borderId="15" xfId="0" applyFont="1" applyBorder="1">
      <alignment vertical="center"/>
    </xf>
    <xf numFmtId="0" fontId="14" fillId="2" borderId="15" xfId="0" applyNumberFormat="1" applyFont="1" applyFill="1" applyBorder="1" applyAlignment="1" applyProtection="1">
      <alignment horizontal="center" vertical="center" wrapText="1"/>
      <protection locked="0"/>
    </xf>
    <xf numFmtId="0" fontId="18" fillId="0" borderId="15" xfId="0" applyNumberFormat="1" applyFont="1" applyBorder="1">
      <alignment vertical="center"/>
    </xf>
    <xf numFmtId="0" fontId="14" fillId="3" borderId="15" xfId="0" applyNumberFormat="1" applyFont="1" applyFill="1" applyBorder="1" applyAlignment="1" applyProtection="1">
      <alignment horizontal="center" vertical="center" wrapText="1"/>
      <protection locked="0"/>
    </xf>
    <xf numFmtId="0" fontId="11" fillId="3" borderId="15" xfId="0" applyNumberFormat="1" applyFont="1" applyFill="1" applyBorder="1" applyAlignment="1" applyProtection="1">
      <alignment horizontal="center" vertical="center"/>
      <protection locked="0"/>
    </xf>
    <xf numFmtId="0" fontId="14" fillId="3" borderId="17" xfId="0" applyNumberFormat="1" applyFont="1" applyFill="1" applyBorder="1" applyAlignment="1" applyProtection="1">
      <alignment horizontal="center" vertical="center" wrapText="1"/>
      <protection locked="0"/>
    </xf>
    <xf numFmtId="49" fontId="15" fillId="3" borderId="1" xfId="0" applyNumberFormat="1" applyFont="1" applyFill="1" applyBorder="1" applyAlignment="1" applyProtection="1">
      <protection locked="0"/>
    </xf>
    <xf numFmtId="0" fontId="53" fillId="2" borderId="15" xfId="0" applyFont="1" applyFill="1" applyBorder="1" applyAlignment="1" applyProtection="1">
      <alignment horizontal="center" vertical="center"/>
      <protection locked="0"/>
    </xf>
    <xf numFmtId="0" fontId="4" fillId="2" borderId="15" xfId="0" applyFont="1" applyFill="1" applyBorder="1" applyAlignment="1" applyProtection="1">
      <protection locked="0"/>
    </xf>
    <xf numFmtId="0" fontId="8" fillId="2" borderId="15" xfId="0" applyFont="1" applyFill="1" applyBorder="1" applyAlignment="1" applyProtection="1">
      <protection locked="0"/>
    </xf>
    <xf numFmtId="178" fontId="4" fillId="2" borderId="15" xfId="0" applyNumberFormat="1" applyFont="1" applyFill="1" applyBorder="1" applyAlignment="1" applyProtection="1">
      <protection locked="0"/>
    </xf>
    <xf numFmtId="0" fontId="59" fillId="3" borderId="0" xfId="0" applyNumberFormat="1" applyFont="1" applyFill="1">
      <alignment vertical="center"/>
    </xf>
    <xf numFmtId="0" fontId="11" fillId="29" borderId="15" xfId="0" applyNumberFormat="1" applyFont="1" applyFill="1" applyBorder="1" applyAlignment="1">
      <alignment horizontal="center" vertical="center" wrapText="1"/>
    </xf>
    <xf numFmtId="0" fontId="60" fillId="29" borderId="15" xfId="0" applyNumberFormat="1" applyFont="1" applyFill="1" applyBorder="1" applyAlignment="1">
      <alignment horizontal="center" vertical="center"/>
    </xf>
    <xf numFmtId="0" fontId="11" fillId="29" borderId="15" xfId="0" applyNumberFormat="1" applyFont="1" applyFill="1" applyBorder="1" applyAlignment="1">
      <alignment horizontal="center" vertical="center"/>
    </xf>
    <xf numFmtId="0" fontId="60" fillId="3" borderId="15" xfId="0" applyNumberFormat="1" applyFont="1" applyFill="1" applyBorder="1" applyAlignment="1">
      <alignment horizontal="center" vertical="center"/>
    </xf>
    <xf numFmtId="0" fontId="11" fillId="3" borderId="15" xfId="0" applyNumberFormat="1" applyFont="1" applyFill="1" applyBorder="1" applyAlignment="1">
      <alignment horizontal="center" vertical="center"/>
    </xf>
    <xf numFmtId="178" fontId="11" fillId="3" borderId="15" xfId="0" applyNumberFormat="1" applyFont="1" applyFill="1" applyBorder="1" applyAlignment="1">
      <alignment horizontal="center" vertical="center"/>
    </xf>
    <xf numFmtId="178" fontId="60" fillId="3" borderId="15" xfId="0" applyNumberFormat="1" applyFont="1" applyFill="1" applyBorder="1" applyAlignment="1">
      <alignment horizontal="center" vertical="center"/>
    </xf>
    <xf numFmtId="178" fontId="59" fillId="3" borderId="0" xfId="0" applyNumberFormat="1" applyFont="1" applyFill="1">
      <alignment vertical="center"/>
    </xf>
    <xf numFmtId="178" fontId="60" fillId="29" borderId="15" xfId="0" applyNumberFormat="1" applyFont="1" applyFill="1" applyBorder="1" applyAlignment="1">
      <alignment horizontal="center" vertical="center"/>
    </xf>
    <xf numFmtId="0" fontId="60" fillId="2" borderId="15" xfId="0" applyFont="1" applyFill="1" applyBorder="1" applyAlignment="1">
      <alignment horizontal="center" vertical="center"/>
    </xf>
    <xf numFmtId="0" fontId="61" fillId="2" borderId="15" xfId="0" applyFont="1" applyFill="1" applyBorder="1" applyAlignment="1">
      <alignment horizontal="center" vertical="center" wrapText="1"/>
    </xf>
    <xf numFmtId="0" fontId="60" fillId="2" borderId="15" xfId="0" applyFont="1" applyFill="1" applyBorder="1" applyAlignment="1">
      <alignment horizontal="center" vertical="center" wrapText="1"/>
    </xf>
    <xf numFmtId="177" fontId="60" fillId="2" borderId="15" xfId="1718" applyNumberFormat="1" applyFont="1" applyFill="1" applyBorder="1" applyAlignment="1">
      <alignment horizontal="center" vertical="center" wrapText="1"/>
    </xf>
    <xf numFmtId="177" fontId="60" fillId="2" borderId="15" xfId="0" applyNumberFormat="1" applyFont="1" applyFill="1" applyBorder="1" applyAlignment="1">
      <alignment horizontal="center" vertical="center" wrapText="1"/>
    </xf>
    <xf numFmtId="0" fontId="59" fillId="0" borderId="15" xfId="0" applyFont="1" applyBorder="1" applyAlignment="1">
      <alignment horizontal="center" vertical="center"/>
    </xf>
    <xf numFmtId="177" fontId="60" fillId="2" borderId="15" xfId="1718" applyNumberFormat="1" applyFont="1" applyFill="1" applyBorder="1" applyAlignment="1">
      <alignment horizontal="center" vertical="center"/>
    </xf>
    <xf numFmtId="177" fontId="59" fillId="0" borderId="15" xfId="0" applyNumberFormat="1" applyFont="1" applyBorder="1" applyAlignment="1">
      <alignment horizontal="center" vertical="center"/>
    </xf>
    <xf numFmtId="0" fontId="0" fillId="0" borderId="0" xfId="0">
      <alignment vertical="center"/>
    </xf>
    <xf numFmtId="0" fontId="62" fillId="0" borderId="0" xfId="0" applyFont="1">
      <alignment vertical="center"/>
    </xf>
    <xf numFmtId="0" fontId="63" fillId="3" borderId="15" xfId="0" applyFont="1" applyFill="1" applyBorder="1" applyAlignment="1">
      <alignment horizontal="center" vertical="center" wrapText="1"/>
    </xf>
    <xf numFmtId="0" fontId="4" fillId="3" borderId="15" xfId="0" applyFont="1" applyFill="1" applyBorder="1" applyAlignment="1">
      <alignment horizontal="center" vertical="center"/>
    </xf>
    <xf numFmtId="0" fontId="4" fillId="3" borderId="15" xfId="0" applyFont="1" applyFill="1" applyBorder="1" applyAlignment="1">
      <alignment horizontal="center" vertical="center" wrapText="1"/>
    </xf>
    <xf numFmtId="0" fontId="62" fillId="0" borderId="15" xfId="0" applyFont="1" applyBorder="1" applyAlignment="1">
      <alignment horizontal="center" vertical="center"/>
    </xf>
    <xf numFmtId="0" fontId="59" fillId="0" borderId="0" xfId="0" applyFont="1">
      <alignment vertical="center"/>
    </xf>
    <xf numFmtId="0" fontId="65" fillId="0" borderId="15" xfId="2000" applyFont="1" applyBorder="1" applyAlignment="1">
      <alignment horizontal="center" vertical="center"/>
    </xf>
    <xf numFmtId="0" fontId="58" fillId="3" borderId="15" xfId="0" applyFont="1" applyFill="1" applyBorder="1" applyAlignment="1">
      <alignment horizontal="center" vertical="center" wrapText="1"/>
    </xf>
    <xf numFmtId="178" fontId="59" fillId="0" borderId="15" xfId="0" applyNumberFormat="1" applyFont="1" applyBorder="1" applyAlignment="1">
      <alignment horizontal="center" vertical="center"/>
    </xf>
    <xf numFmtId="178" fontId="4" fillId="3" borderId="15" xfId="0" applyNumberFormat="1" applyFont="1" applyFill="1" applyBorder="1" applyAlignment="1">
      <alignment horizontal="center" vertical="center" wrapText="1"/>
    </xf>
    <xf numFmtId="178" fontId="59" fillId="0" borderId="15" xfId="0" applyNumberFormat="1" applyFont="1" applyBorder="1">
      <alignment vertical="center"/>
    </xf>
    <xf numFmtId="178" fontId="62" fillId="0" borderId="15" xfId="0" applyNumberFormat="1" applyFont="1" applyBorder="1" applyAlignment="1">
      <alignment horizontal="center" vertical="center"/>
    </xf>
    <xf numFmtId="178" fontId="0" fillId="0" borderId="0" xfId="0" applyNumberFormat="1">
      <alignment vertical="center"/>
    </xf>
    <xf numFmtId="0" fontId="62" fillId="0" borderId="1" xfId="0" applyFont="1" applyBorder="1">
      <alignment vertical="center"/>
    </xf>
    <xf numFmtId="0" fontId="4" fillId="3" borderId="15" xfId="0" applyFont="1" applyFill="1" applyBorder="1" applyAlignment="1">
      <alignment horizontal="center" vertical="center"/>
    </xf>
    <xf numFmtId="0" fontId="60" fillId="0" borderId="15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/>
    </xf>
    <xf numFmtId="0" fontId="0" fillId="3" borderId="0" xfId="0" applyNumberFormat="1" applyFont="1" applyFill="1" applyAlignment="1">
      <alignment horizontal="center" vertical="center"/>
    </xf>
    <xf numFmtId="0" fontId="72" fillId="3" borderId="15" xfId="2002" applyNumberFormat="1" applyFont="1" applyFill="1" applyBorder="1" applyAlignment="1">
      <alignment horizontal="center" vertical="center" shrinkToFit="1"/>
    </xf>
    <xf numFmtId="0" fontId="72" fillId="3" borderId="15" xfId="2002" applyNumberFormat="1" applyFont="1" applyFill="1" applyBorder="1" applyAlignment="1">
      <alignment horizontal="center" vertical="center" wrapText="1" shrinkToFit="1"/>
    </xf>
    <xf numFmtId="0" fontId="0" fillId="3" borderId="0" xfId="0" applyNumberFormat="1" applyFont="1" applyFill="1">
      <alignment vertical="center"/>
    </xf>
    <xf numFmtId="0" fontId="73" fillId="3" borderId="15" xfId="2002" applyNumberFormat="1" applyFont="1" applyFill="1" applyBorder="1" applyAlignment="1">
      <alignment horizontal="center" vertical="center"/>
    </xf>
    <xf numFmtId="0" fontId="73" fillId="3" borderId="15" xfId="0" applyFont="1" applyFill="1" applyBorder="1" applyAlignment="1">
      <alignment horizontal="center" vertical="center"/>
    </xf>
    <xf numFmtId="0" fontId="73" fillId="3" borderId="15" xfId="0" applyNumberFormat="1" applyFont="1" applyFill="1" applyBorder="1" applyAlignment="1">
      <alignment horizontal="center" vertical="center" shrinkToFit="1"/>
    </xf>
    <xf numFmtId="0" fontId="72" fillId="3" borderId="15" xfId="2002" applyNumberFormat="1" applyFont="1" applyFill="1" applyBorder="1" applyAlignment="1">
      <alignment horizontal="center" vertical="center"/>
    </xf>
    <xf numFmtId="180" fontId="72" fillId="3" borderId="15" xfId="2002" applyNumberFormat="1" applyFont="1" applyFill="1" applyBorder="1" applyAlignment="1">
      <alignment horizontal="right" vertical="center"/>
    </xf>
    <xf numFmtId="0" fontId="72" fillId="3" borderId="15" xfId="0" applyFont="1" applyFill="1" applyBorder="1" applyAlignment="1">
      <alignment horizontal="center" vertical="center" wrapText="1"/>
    </xf>
    <xf numFmtId="0" fontId="73" fillId="3" borderId="15" xfId="0" applyFont="1" applyFill="1" applyBorder="1" applyAlignment="1">
      <alignment horizontal="center" vertical="center" wrapText="1"/>
    </xf>
    <xf numFmtId="0" fontId="74" fillId="3" borderId="15" xfId="2002" applyNumberFormat="1" applyFont="1" applyFill="1" applyBorder="1" applyAlignment="1">
      <alignment horizontal="center" vertical="center"/>
    </xf>
    <xf numFmtId="0" fontId="0" fillId="3" borderId="0" xfId="0" applyNumberFormat="1" applyFill="1">
      <alignment vertical="center"/>
    </xf>
    <xf numFmtId="0" fontId="0" fillId="3" borderId="0" xfId="0" applyFill="1">
      <alignment vertical="center"/>
    </xf>
    <xf numFmtId="0" fontId="72" fillId="3" borderId="18" xfId="2003" applyNumberFormat="1" applyFont="1" applyFill="1" applyBorder="1" applyAlignment="1">
      <alignment horizontal="center" vertical="center"/>
    </xf>
    <xf numFmtId="0" fontId="73" fillId="3" borderId="0" xfId="0" applyFont="1" applyFill="1">
      <alignment vertical="center"/>
    </xf>
    <xf numFmtId="0" fontId="72" fillId="3" borderId="18" xfId="0" applyFont="1" applyFill="1" applyBorder="1" applyAlignment="1">
      <alignment horizontal="center" vertical="center" wrapText="1"/>
    </xf>
    <xf numFmtId="0" fontId="72" fillId="3" borderId="15" xfId="0" applyFont="1" applyFill="1" applyBorder="1" applyAlignment="1">
      <alignment horizontal="center" vertical="center"/>
    </xf>
    <xf numFmtId="0" fontId="72" fillId="3" borderId="15" xfId="2003" applyNumberFormat="1" applyFont="1" applyFill="1" applyBorder="1" applyAlignment="1">
      <alignment horizontal="center" vertical="center"/>
    </xf>
    <xf numFmtId="0" fontId="72" fillId="3" borderId="15" xfId="2003" applyNumberFormat="1" applyFont="1" applyFill="1" applyBorder="1" applyAlignment="1">
      <alignment horizontal="center" vertical="center" wrapText="1"/>
    </xf>
    <xf numFmtId="0" fontId="76" fillId="3" borderId="0" xfId="0" applyFont="1" applyFill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78" fillId="3" borderId="0" xfId="0" applyNumberFormat="1" applyFont="1" applyFill="1" applyBorder="1" applyAlignment="1"/>
    <xf numFmtId="0" fontId="4" fillId="3" borderId="15" xfId="0" applyNumberFormat="1" applyFont="1" applyFill="1" applyBorder="1" applyAlignment="1">
      <alignment horizontal="center" vertical="center" shrinkToFit="1"/>
    </xf>
    <xf numFmtId="0" fontId="4" fillId="3" borderId="16" xfId="0" applyNumberFormat="1" applyFont="1" applyFill="1" applyBorder="1" applyAlignment="1">
      <alignment horizontal="center" vertical="center" shrinkToFit="1"/>
    </xf>
    <xf numFmtId="0" fontId="78" fillId="3" borderId="19" xfId="0" applyNumberFormat="1" applyFont="1" applyFill="1" applyBorder="1" applyAlignment="1"/>
    <xf numFmtId="0" fontId="4" fillId="3" borderId="15" xfId="0" applyNumberFormat="1" applyFont="1" applyFill="1" applyBorder="1" applyAlignment="1">
      <alignment horizontal="center" vertical="center"/>
    </xf>
    <xf numFmtId="0" fontId="4" fillId="3" borderId="15" xfId="0" applyNumberFormat="1" applyFont="1" applyFill="1" applyBorder="1" applyAlignment="1">
      <alignment horizontal="left" vertical="center"/>
    </xf>
    <xf numFmtId="0" fontId="4" fillId="3" borderId="16" xfId="0" applyNumberFormat="1" applyFont="1" applyFill="1" applyBorder="1" applyAlignment="1">
      <alignment horizontal="center" vertical="center"/>
    </xf>
    <xf numFmtId="0" fontId="79" fillId="3" borderId="19" xfId="0" applyNumberFormat="1" applyFont="1" applyFill="1" applyBorder="1" applyAlignment="1">
      <alignment horizontal="left"/>
    </xf>
    <xf numFmtId="0" fontId="78" fillId="3" borderId="0" xfId="0" applyNumberFormat="1" applyFont="1" applyFill="1" applyBorder="1" applyAlignment="1">
      <alignment horizontal="left"/>
    </xf>
    <xf numFmtId="0" fontId="80" fillId="3" borderId="0" xfId="0" applyNumberFormat="1" applyFont="1" applyFill="1" applyBorder="1" applyAlignment="1">
      <alignment horizontal="left"/>
    </xf>
    <xf numFmtId="0" fontId="70" fillId="3" borderId="15" xfId="0" applyNumberFormat="1" applyFont="1" applyFill="1" applyBorder="1" applyAlignment="1">
      <alignment horizontal="center" vertical="center"/>
    </xf>
    <xf numFmtId="0" fontId="70" fillId="3" borderId="15" xfId="0" applyNumberFormat="1" applyFont="1" applyFill="1" applyBorder="1" applyAlignment="1">
      <alignment horizontal="left" vertical="center"/>
    </xf>
    <xf numFmtId="0" fontId="70" fillId="3" borderId="16" xfId="0" applyNumberFormat="1" applyFont="1" applyFill="1" applyBorder="1" applyAlignment="1">
      <alignment horizontal="center" vertical="center"/>
    </xf>
    <xf numFmtId="0" fontId="70" fillId="3" borderId="19" xfId="0" applyNumberFormat="1" applyFont="1" applyFill="1" applyBorder="1" applyAlignment="1">
      <alignment horizontal="left"/>
    </xf>
    <xf numFmtId="0" fontId="4" fillId="3" borderId="19" xfId="0" applyNumberFormat="1" applyFont="1" applyFill="1" applyBorder="1" applyAlignment="1">
      <alignment horizontal="left"/>
    </xf>
    <xf numFmtId="0" fontId="4" fillId="3" borderId="0" xfId="0" applyNumberFormat="1" applyFont="1" applyFill="1" applyBorder="1" applyAlignment="1">
      <alignment horizontal="left"/>
    </xf>
    <xf numFmtId="0" fontId="4" fillId="3" borderId="14" xfId="0" applyNumberFormat="1" applyFont="1" applyFill="1" applyBorder="1" applyAlignment="1">
      <alignment horizontal="center" vertical="center"/>
    </xf>
    <xf numFmtId="0" fontId="4" fillId="3" borderId="14" xfId="0" applyNumberFormat="1" applyFont="1" applyFill="1" applyBorder="1" applyAlignment="1">
      <alignment horizontal="left"/>
    </xf>
    <xf numFmtId="0" fontId="4" fillId="3" borderId="14" xfId="0" applyNumberFormat="1" applyFont="1" applyFill="1" applyBorder="1" applyAlignment="1">
      <alignment horizontal="left" vertical="center"/>
    </xf>
    <xf numFmtId="0" fontId="78" fillId="3" borderId="0" xfId="0" applyNumberFormat="1" applyFont="1" applyFill="1" applyBorder="1" applyAlignment="1">
      <alignment horizontal="center"/>
    </xf>
    <xf numFmtId="0" fontId="82" fillId="0" borderId="0" xfId="0" applyNumberFormat="1" applyFont="1">
      <alignment vertical="center"/>
    </xf>
    <xf numFmtId="0" fontId="60" fillId="3" borderId="15" xfId="2004" applyNumberFormat="1" applyFont="1" applyFill="1" applyBorder="1" applyAlignment="1">
      <alignment horizontal="center" vertical="center"/>
    </xf>
    <xf numFmtId="0" fontId="60" fillId="3" borderId="15" xfId="2004" applyNumberFormat="1" applyFont="1" applyFill="1" applyBorder="1" applyAlignment="1">
      <alignment horizontal="center" vertical="center" wrapText="1"/>
    </xf>
    <xf numFmtId="0" fontId="60" fillId="3" borderId="15" xfId="2001" applyNumberFormat="1" applyFont="1" applyFill="1" applyBorder="1" applyAlignment="1">
      <alignment horizontal="center" vertical="center"/>
    </xf>
    <xf numFmtId="0" fontId="59" fillId="0" borderId="0" xfId="0" applyNumberFormat="1" applyFont="1">
      <alignment vertical="center"/>
    </xf>
    <xf numFmtId="0" fontId="60" fillId="0" borderId="15" xfId="2004" applyNumberFormat="1" applyFont="1" applyFill="1" applyBorder="1" applyAlignment="1">
      <alignment horizontal="center" vertical="center" wrapText="1"/>
    </xf>
    <xf numFmtId="0" fontId="61" fillId="0" borderId="15" xfId="2004" applyNumberFormat="1" applyFont="1" applyFill="1" applyBorder="1" applyAlignment="1" applyProtection="1">
      <alignment horizontal="left" vertical="center" wrapText="1"/>
    </xf>
    <xf numFmtId="0" fontId="60" fillId="0" borderId="15" xfId="2004" applyNumberFormat="1" applyFont="1" applyFill="1" applyBorder="1" applyAlignment="1">
      <alignment horizontal="center" vertical="center"/>
    </xf>
    <xf numFmtId="0" fontId="60" fillId="0" borderId="15" xfId="2001" applyNumberFormat="1" applyFont="1" applyFill="1" applyBorder="1" applyAlignment="1">
      <alignment horizontal="center" vertical="center"/>
    </xf>
    <xf numFmtId="0" fontId="61" fillId="3" borderId="15" xfId="2004" applyNumberFormat="1" applyFont="1" applyFill="1" applyBorder="1" applyAlignment="1" applyProtection="1">
      <alignment horizontal="left" vertical="center" wrapText="1"/>
    </xf>
    <xf numFmtId="0" fontId="0" fillId="0" borderId="0" xfId="0" applyNumberFormat="1">
      <alignment vertical="center"/>
    </xf>
    <xf numFmtId="0" fontId="84" fillId="3" borderId="15" xfId="0" applyNumberFormat="1" applyFont="1" applyFill="1" applyBorder="1" applyAlignment="1">
      <alignment horizontal="center" vertical="center"/>
    </xf>
    <xf numFmtId="0" fontId="20" fillId="3" borderId="15" xfId="2005" applyNumberFormat="1" applyFont="1" applyFill="1" applyBorder="1" applyAlignment="1">
      <alignment horizontal="center" vertical="center"/>
    </xf>
    <xf numFmtId="0" fontId="20" fillId="3" borderId="15" xfId="2001" applyNumberFormat="1" applyFont="1" applyFill="1" applyBorder="1" applyAlignment="1">
      <alignment horizontal="center" vertical="center"/>
    </xf>
    <xf numFmtId="0" fontId="84" fillId="3" borderId="0" xfId="0" applyNumberFormat="1" applyFont="1" applyFill="1" applyAlignment="1">
      <alignment horizontal="center" vertical="center"/>
    </xf>
    <xf numFmtId="0" fontId="20" fillId="3" borderId="15" xfId="1123" applyNumberFormat="1" applyFont="1" applyFill="1" applyBorder="1" applyAlignment="1">
      <alignment horizontal="center" vertical="center"/>
    </xf>
    <xf numFmtId="0" fontId="85" fillId="3" borderId="15" xfId="2005" applyNumberFormat="1" applyFont="1" applyFill="1" applyBorder="1" applyAlignment="1" applyProtection="1">
      <alignment horizontal="center" vertical="center" wrapText="1"/>
    </xf>
    <xf numFmtId="0" fontId="86" fillId="3" borderId="15" xfId="2005" applyNumberFormat="1" applyFont="1" applyFill="1" applyBorder="1" applyAlignment="1">
      <alignment horizontal="center" vertical="center"/>
    </xf>
    <xf numFmtId="0" fontId="86" fillId="3" borderId="15" xfId="2001" applyNumberFormat="1" applyFont="1" applyFill="1" applyBorder="1" applyAlignment="1">
      <alignment horizontal="center" vertical="center"/>
    </xf>
    <xf numFmtId="0" fontId="84" fillId="3" borderId="15" xfId="2005" applyNumberFormat="1" applyFont="1" applyFill="1" applyBorder="1" applyAlignment="1">
      <alignment horizontal="center" vertical="center"/>
    </xf>
    <xf numFmtId="0" fontId="87" fillId="3" borderId="15" xfId="0" applyNumberFormat="1" applyFont="1" applyFill="1" applyBorder="1" applyAlignment="1">
      <alignment horizontal="center" vertical="center"/>
    </xf>
    <xf numFmtId="0" fontId="89" fillId="0" borderId="15" xfId="1123" applyNumberFormat="1" applyFont="1" applyFill="1" applyBorder="1" applyAlignment="1">
      <alignment horizontal="center" vertical="center" wrapText="1"/>
    </xf>
    <xf numFmtId="181" fontId="90" fillId="0" borderId="14" xfId="1123" applyNumberFormat="1" applyFont="1" applyFill="1" applyBorder="1" applyAlignment="1" applyProtection="1">
      <alignment horizontal="center" vertical="center" wrapText="1"/>
    </xf>
    <xf numFmtId="0" fontId="89" fillId="0" borderId="15" xfId="1123" applyNumberFormat="1" applyFont="1" applyFill="1" applyBorder="1" applyAlignment="1" applyProtection="1">
      <alignment horizontal="center" vertical="center" wrapText="1"/>
    </xf>
    <xf numFmtId="181" fontId="89" fillId="0" borderId="15" xfId="1123" applyNumberFormat="1" applyFont="1" applyFill="1" applyBorder="1" applyAlignment="1" applyProtection="1">
      <alignment horizontal="center" vertical="center" wrapText="1"/>
    </xf>
    <xf numFmtId="181" fontId="90" fillId="0" borderId="15" xfId="1123" applyNumberFormat="1" applyFont="1" applyFill="1" applyBorder="1" applyAlignment="1" applyProtection="1">
      <alignment horizontal="center" vertical="center" wrapText="1"/>
    </xf>
    <xf numFmtId="178" fontId="89" fillId="0" borderId="14" xfId="1123" applyNumberFormat="1" applyFont="1" applyFill="1" applyBorder="1" applyAlignment="1" applyProtection="1">
      <alignment horizontal="center" vertical="center" wrapText="1"/>
    </xf>
    <xf numFmtId="181" fontId="89" fillId="0" borderId="14" xfId="1123" applyNumberFormat="1" applyFont="1" applyFill="1" applyBorder="1" applyAlignment="1">
      <alignment horizontal="center" vertical="center" wrapText="1"/>
    </xf>
    <xf numFmtId="0" fontId="91" fillId="0" borderId="15" xfId="1123" applyNumberFormat="1" applyFont="1" applyFill="1" applyBorder="1" applyAlignment="1">
      <alignment horizontal="center" vertical="center" wrapText="1"/>
    </xf>
    <xf numFmtId="181" fontId="91" fillId="0" borderId="15" xfId="1123" applyNumberFormat="1" applyFont="1" applyFill="1" applyBorder="1" applyAlignment="1">
      <alignment horizontal="center" vertical="center" wrapText="1"/>
    </xf>
    <xf numFmtId="181" fontId="91" fillId="0" borderId="15" xfId="1123" applyNumberFormat="1" applyFont="1" applyFill="1" applyBorder="1" applyAlignment="1">
      <alignment horizontal="left" vertical="center" wrapText="1"/>
    </xf>
    <xf numFmtId="178" fontId="91" fillId="0" borderId="15" xfId="1123" applyNumberFormat="1" applyFont="1" applyFill="1" applyBorder="1" applyAlignment="1">
      <alignment horizontal="right" vertical="center" wrapText="1"/>
    </xf>
    <xf numFmtId="177" fontId="91" fillId="0" borderId="15" xfId="1123" applyNumberFormat="1" applyFont="1" applyFill="1" applyBorder="1" applyAlignment="1">
      <alignment horizontal="right" vertical="center" wrapText="1" shrinkToFit="1"/>
    </xf>
    <xf numFmtId="0" fontId="91" fillId="0" borderId="15" xfId="1123" applyNumberFormat="1" applyFont="1" applyFill="1" applyBorder="1" applyAlignment="1">
      <alignment horizontal="center" vertical="center"/>
    </xf>
    <xf numFmtId="181" fontId="91" fillId="0" borderId="15" xfId="1123" applyNumberFormat="1" applyFont="1" applyFill="1" applyBorder="1" applyAlignment="1">
      <alignment horizontal="left" vertical="center"/>
    </xf>
    <xf numFmtId="181" fontId="91" fillId="0" borderId="0" xfId="1123" applyNumberFormat="1" applyFont="1" applyFill="1" applyAlignment="1">
      <alignment vertical="center"/>
    </xf>
    <xf numFmtId="181" fontId="89" fillId="0" borderId="15" xfId="1123" applyNumberFormat="1" applyFont="1" applyFill="1" applyBorder="1" applyAlignment="1">
      <alignment horizontal="center" vertical="center" wrapText="1"/>
    </xf>
    <xf numFmtId="178" fontId="91" fillId="0" borderId="15" xfId="1123" applyNumberFormat="1" applyFont="1" applyFill="1" applyBorder="1" applyAlignment="1">
      <alignment horizontal="right" vertical="center"/>
    </xf>
    <xf numFmtId="0" fontId="27" fillId="0" borderId="0" xfId="0" applyFont="1" applyFill="1">
      <alignment vertical="center"/>
    </xf>
    <xf numFmtId="0" fontId="88" fillId="0" borderId="0" xfId="0" applyFont="1" applyFill="1">
      <alignment vertical="center"/>
    </xf>
    <xf numFmtId="0" fontId="96" fillId="0" borderId="15" xfId="0" applyFont="1" applyFill="1" applyBorder="1" applyAlignment="1">
      <alignment horizontal="center" vertical="center"/>
    </xf>
    <xf numFmtId="178" fontId="96" fillId="0" borderId="15" xfId="0" applyNumberFormat="1" applyFont="1" applyFill="1" applyBorder="1" applyAlignment="1">
      <alignment horizontal="center" vertical="center"/>
    </xf>
    <xf numFmtId="0" fontId="0" fillId="0" borderId="0" xfId="0" applyFill="1">
      <alignment vertical="center"/>
    </xf>
    <xf numFmtId="0" fontId="96" fillId="29" borderId="15" xfId="0" applyFont="1" applyFill="1" applyBorder="1" applyAlignment="1">
      <alignment horizontal="center" vertical="center"/>
    </xf>
    <xf numFmtId="0" fontId="4" fillId="29" borderId="15" xfId="0" applyFont="1" applyFill="1" applyBorder="1" applyAlignment="1">
      <alignment horizontal="center" vertical="center"/>
    </xf>
    <xf numFmtId="178" fontId="96" fillId="29" borderId="15" xfId="0" applyNumberFormat="1" applyFont="1" applyFill="1" applyBorder="1" applyAlignment="1">
      <alignment horizontal="center" vertical="center"/>
    </xf>
    <xf numFmtId="0" fontId="96" fillId="3" borderId="15" xfId="0" applyFont="1" applyFill="1" applyBorder="1" applyAlignment="1">
      <alignment horizontal="center" vertical="center"/>
    </xf>
    <xf numFmtId="178" fontId="96" fillId="3" borderId="15" xfId="0" applyNumberFormat="1" applyFont="1" applyFill="1" applyBorder="1" applyAlignment="1">
      <alignment horizontal="center" vertical="center"/>
    </xf>
    <xf numFmtId="0" fontId="27" fillId="3" borderId="0" xfId="0" applyFont="1" applyFill="1">
      <alignment vertical="center"/>
    </xf>
    <xf numFmtId="0" fontId="27" fillId="0" borderId="0" xfId="0" applyFont="1" applyFill="1" applyAlignment="1">
      <alignment horizontal="left" vertical="center"/>
    </xf>
    <xf numFmtId="178" fontId="27" fillId="0" borderId="0" xfId="0" applyNumberFormat="1" applyFont="1" applyFill="1">
      <alignment vertical="center"/>
    </xf>
    <xf numFmtId="0" fontId="91" fillId="0" borderId="0" xfId="0" applyFont="1" applyFill="1" applyAlignment="1">
      <alignment horizontal="center" vertical="center"/>
    </xf>
    <xf numFmtId="0" fontId="20" fillId="0" borderId="0" xfId="0" applyNumberFormat="1" applyFont="1" applyFill="1" applyBorder="1" applyAlignment="1" applyProtection="1"/>
    <xf numFmtId="0" fontId="20" fillId="0" borderId="15" xfId="0" applyNumberFormat="1" applyFont="1" applyFill="1" applyBorder="1" applyAlignment="1" applyProtection="1">
      <alignment horizontal="center" vertical="center"/>
    </xf>
    <xf numFmtId="0" fontId="20" fillId="0" borderId="15" xfId="0" applyNumberFormat="1" applyFont="1" applyFill="1" applyBorder="1" applyAlignment="1" applyProtection="1">
      <alignment horizontal="center" vertical="center" wrapText="1"/>
    </xf>
    <xf numFmtId="0" fontId="20" fillId="0" borderId="14" xfId="0" applyNumberFormat="1" applyFont="1" applyFill="1" applyBorder="1" applyAlignment="1" applyProtection="1">
      <alignment horizontal="center" vertical="center"/>
    </xf>
    <xf numFmtId="0" fontId="20" fillId="0" borderId="14" xfId="0" applyNumberFormat="1" applyFont="1" applyFill="1" applyBorder="1" applyAlignment="1" applyProtection="1">
      <alignment horizontal="center" vertical="center" wrapText="1"/>
    </xf>
    <xf numFmtId="0" fontId="20" fillId="0" borderId="20" xfId="0" applyNumberFormat="1" applyFont="1" applyFill="1" applyBorder="1" applyAlignment="1" applyProtection="1">
      <alignment horizontal="center" vertical="center"/>
    </xf>
    <xf numFmtId="0" fontId="20" fillId="0" borderId="20" xfId="0" applyNumberFormat="1" applyFont="1" applyFill="1" applyBorder="1" applyAlignment="1" applyProtection="1">
      <alignment vertical="center"/>
    </xf>
    <xf numFmtId="0" fontId="20" fillId="0" borderId="14" xfId="0" applyNumberFormat="1" applyFont="1" applyFill="1" applyBorder="1" applyAlignment="1" applyProtection="1">
      <alignment vertical="center"/>
    </xf>
    <xf numFmtId="0" fontId="20" fillId="0" borderId="15" xfId="0" applyNumberFormat="1" applyFont="1" applyFill="1" applyBorder="1" applyAlignment="1" applyProtection="1">
      <alignment horizontal="left"/>
    </xf>
    <xf numFmtId="0" fontId="20" fillId="0" borderId="15" xfId="0" applyNumberFormat="1" applyFont="1" applyFill="1" applyBorder="1" applyAlignment="1" applyProtection="1">
      <alignment horizontal="left" vertical="center"/>
    </xf>
    <xf numFmtId="182" fontId="98" fillId="30" borderId="15" xfId="0" applyNumberFormat="1" applyFont="1" applyFill="1" applyBorder="1" applyAlignment="1" applyProtection="1">
      <alignment horizontal="center" vertical="center" wrapText="1"/>
    </xf>
    <xf numFmtId="0" fontId="20" fillId="0" borderId="16" xfId="0" applyNumberFormat="1" applyFont="1" applyFill="1" applyBorder="1" applyAlignment="1" applyProtection="1">
      <alignment horizontal="center" vertical="center"/>
    </xf>
    <xf numFmtId="43" fontId="91" fillId="0" borderId="15" xfId="1682" applyFont="1" applyFill="1" applyBorder="1" applyAlignment="1">
      <alignment horizontal="center" vertical="center"/>
    </xf>
    <xf numFmtId="0" fontId="20" fillId="0" borderId="15" xfId="0" applyNumberFormat="1" applyFont="1" applyFill="1" applyBorder="1" applyAlignment="1" applyProtection="1"/>
    <xf numFmtId="178" fontId="20" fillId="0" borderId="15" xfId="0" applyNumberFormat="1" applyFont="1" applyFill="1" applyBorder="1" applyAlignment="1" applyProtection="1"/>
    <xf numFmtId="182" fontId="98" fillId="0" borderId="15" xfId="0" applyNumberFormat="1" applyFont="1" applyFill="1" applyBorder="1" applyAlignment="1" applyProtection="1">
      <alignment horizontal="center" vertical="center" wrapText="1"/>
    </xf>
    <xf numFmtId="0" fontId="90" fillId="0" borderId="15" xfId="0" applyNumberFormat="1" applyFont="1" applyFill="1" applyBorder="1" applyAlignment="1" applyProtection="1">
      <alignment horizontal="center" vertical="center"/>
    </xf>
    <xf numFmtId="0" fontId="20" fillId="0" borderId="0" xfId="0" applyNumberFormat="1" applyFont="1" applyFill="1" applyBorder="1" applyAlignment="1" applyProtection="1">
      <alignment horizontal="center" vertical="center"/>
    </xf>
    <xf numFmtId="0" fontId="20" fillId="0" borderId="0" xfId="0" applyNumberFormat="1" applyFont="1" applyFill="1" applyBorder="1" applyAlignment="1" applyProtection="1">
      <alignment horizontal="left"/>
    </xf>
    <xf numFmtId="0" fontId="20" fillId="0" borderId="0" xfId="0" applyNumberFormat="1" applyFont="1" applyFill="1" applyBorder="1" applyAlignment="1" applyProtection="1">
      <alignment horizontal="center"/>
    </xf>
    <xf numFmtId="0" fontId="9" fillId="0" borderId="15" xfId="2007" applyFont="1" applyFill="1" applyBorder="1" applyAlignment="1">
      <alignment horizontal="right" vertical="center" wrapText="1"/>
    </xf>
    <xf numFmtId="9" fontId="9" fillId="0" borderId="15" xfId="1123" applyNumberFormat="1" applyFont="1" applyFill="1" applyBorder="1" applyAlignment="1">
      <alignment horizontal="right" vertical="center"/>
    </xf>
    <xf numFmtId="0" fontId="101" fillId="0" borderId="15" xfId="2011" applyFont="1" applyBorder="1" applyAlignment="1">
      <alignment horizontal="center" vertical="center" wrapText="1"/>
    </xf>
    <xf numFmtId="183" fontId="101" fillId="0" borderId="15" xfId="2011" applyNumberFormat="1" applyFont="1" applyBorder="1" applyAlignment="1">
      <alignment horizontal="center" vertical="center" wrapText="1"/>
    </xf>
    <xf numFmtId="183" fontId="101" fillId="0" borderId="15" xfId="2012" applyNumberFormat="1" applyFont="1" applyFill="1" applyBorder="1" applyAlignment="1">
      <alignment horizontal="center" vertical="center" wrapText="1"/>
    </xf>
    <xf numFmtId="0" fontId="60" fillId="0" borderId="15" xfId="2011" applyFont="1" applyBorder="1" applyAlignment="1">
      <alignment horizontal="center" vertical="center" wrapText="1"/>
    </xf>
    <xf numFmtId="0" fontId="60" fillId="0" borderId="0" xfId="2011" applyFont="1" applyAlignment="1">
      <alignment vertical="center" wrapText="1"/>
    </xf>
    <xf numFmtId="183" fontId="103" fillId="0" borderId="15" xfId="2011" applyNumberFormat="1" applyFont="1" applyBorder="1" applyAlignment="1">
      <alignment horizontal="center" vertical="center" wrapText="1"/>
    </xf>
    <xf numFmtId="183" fontId="60" fillId="0" borderId="15" xfId="2011" applyNumberFormat="1" applyFont="1" applyBorder="1" applyAlignment="1">
      <alignment horizontal="center" vertical="center" wrapText="1"/>
    </xf>
    <xf numFmtId="0" fontId="103" fillId="0" borderId="15" xfId="2011" applyFont="1" applyBorder="1" applyAlignment="1">
      <alignment horizontal="center" vertical="center" wrapText="1"/>
    </xf>
    <xf numFmtId="0" fontId="103" fillId="0" borderId="0" xfId="2011" applyFont="1" applyAlignment="1">
      <alignment vertical="center" wrapText="1"/>
    </xf>
    <xf numFmtId="0" fontId="60" fillId="0" borderId="15" xfId="2011" applyFont="1" applyBorder="1" applyAlignment="1">
      <alignment horizontal="left" vertical="center" wrapText="1"/>
    </xf>
    <xf numFmtId="180" fontId="60" fillId="0" borderId="15" xfId="2011" applyNumberFormat="1" applyFont="1" applyBorder="1" applyAlignment="1">
      <alignment horizontal="center" vertical="center" wrapText="1"/>
    </xf>
    <xf numFmtId="0" fontId="101" fillId="0" borderId="15" xfId="2013" applyFont="1" applyBorder="1" applyAlignment="1">
      <alignment horizontal="center" vertical="center" wrapText="1"/>
    </xf>
    <xf numFmtId="183" fontId="101" fillId="0" borderId="15" xfId="2013" applyNumberFormat="1" applyFont="1" applyBorder="1" applyAlignment="1">
      <alignment horizontal="center" vertical="center" wrapText="1"/>
    </xf>
    <xf numFmtId="0" fontId="101" fillId="0" borderId="0" xfId="2011" applyFont="1" applyAlignment="1">
      <alignment vertical="center" wrapText="1"/>
    </xf>
    <xf numFmtId="183" fontId="60" fillId="0" borderId="15" xfId="2013" applyNumberFormat="1" applyFont="1" applyBorder="1" applyAlignment="1">
      <alignment horizontal="center" vertical="center" wrapText="1"/>
    </xf>
    <xf numFmtId="0" fontId="60" fillId="0" borderId="15" xfId="2013" applyFont="1" applyBorder="1" applyAlignment="1">
      <alignment horizontal="left" vertical="center" wrapText="1"/>
    </xf>
    <xf numFmtId="0" fontId="60" fillId="0" borderId="15" xfId="2013" applyFont="1" applyBorder="1" applyAlignment="1">
      <alignment horizontal="center" vertical="center" wrapText="1"/>
    </xf>
    <xf numFmtId="0" fontId="60" fillId="0" borderId="0" xfId="2011" applyFont="1" applyAlignment="1">
      <alignment horizontal="center" vertical="center" wrapText="1"/>
    </xf>
    <xf numFmtId="183" fontId="60" fillId="0" borderId="0" xfId="2011" applyNumberFormat="1" applyFont="1" applyAlignment="1">
      <alignment horizontal="center" vertical="center" wrapText="1"/>
    </xf>
    <xf numFmtId="183" fontId="60" fillId="0" borderId="0" xfId="2012" applyNumberFormat="1" applyFont="1" applyFill="1" applyAlignment="1">
      <alignment horizontal="center" vertical="center" wrapText="1"/>
    </xf>
    <xf numFmtId="183" fontId="101" fillId="0" borderId="16" xfId="2012" applyNumberFormat="1" applyFont="1" applyFill="1" applyBorder="1" applyAlignment="1">
      <alignment horizontal="center" vertical="center" wrapText="1"/>
    </xf>
    <xf numFmtId="183" fontId="60" fillId="0" borderId="16" xfId="2011" applyNumberFormat="1" applyFont="1" applyBorder="1" applyAlignment="1">
      <alignment horizontal="center" vertical="center" wrapText="1"/>
    </xf>
    <xf numFmtId="183" fontId="103" fillId="0" borderId="16" xfId="2011" applyNumberFormat="1" applyFont="1" applyBorder="1" applyAlignment="1">
      <alignment horizontal="center" vertical="center" wrapText="1"/>
    </xf>
    <xf numFmtId="183" fontId="101" fillId="0" borderId="16" xfId="2011" applyNumberFormat="1" applyFont="1" applyBorder="1" applyAlignment="1">
      <alignment horizontal="center" vertical="center" wrapText="1"/>
    </xf>
    <xf numFmtId="182" fontId="9" fillId="0" borderId="16" xfId="1149" applyNumberFormat="1" applyFont="1" applyFill="1" applyBorder="1" applyAlignment="1">
      <alignment horizontal="center" vertical="center" wrapText="1"/>
    </xf>
    <xf numFmtId="183" fontId="60" fillId="0" borderId="16" xfId="2012" applyNumberFormat="1" applyFont="1" applyFill="1" applyBorder="1" applyAlignment="1">
      <alignment horizontal="center" vertical="center" wrapText="1"/>
    </xf>
    <xf numFmtId="0" fontId="60" fillId="0" borderId="15" xfId="2011" applyFont="1" applyBorder="1" applyAlignment="1">
      <alignment vertical="center" wrapText="1"/>
    </xf>
    <xf numFmtId="0" fontId="99" fillId="0" borderId="0" xfId="0" applyFont="1" applyFill="1" applyAlignment="1">
      <alignment horizontal="center" vertical="center"/>
    </xf>
    <xf numFmtId="0" fontId="99" fillId="0" borderId="0" xfId="0" applyFont="1" applyFill="1" applyAlignment="1">
      <alignment horizontal="center" vertical="center" wrapText="1"/>
    </xf>
    <xf numFmtId="183" fontId="99" fillId="0" borderId="0" xfId="0" applyNumberFormat="1" applyFont="1" applyFill="1" applyAlignment="1">
      <alignment horizontal="center" vertical="center"/>
    </xf>
    <xf numFmtId="183" fontId="99" fillId="0" borderId="0" xfId="0" applyNumberFormat="1" applyFont="1" applyFill="1" applyBorder="1" applyAlignment="1">
      <alignment horizontal="center" vertical="center"/>
    </xf>
    <xf numFmtId="0" fontId="60" fillId="0" borderId="15" xfId="0" applyFont="1" applyFill="1" applyBorder="1" applyAlignment="1">
      <alignment horizontal="center" vertical="center"/>
    </xf>
    <xf numFmtId="183" fontId="4" fillId="0" borderId="15" xfId="1123" applyNumberFormat="1" applyFont="1" applyFill="1" applyBorder="1" applyAlignment="1">
      <alignment horizontal="center" vertical="center"/>
    </xf>
    <xf numFmtId="183" fontId="4" fillId="0" borderId="15" xfId="1123" applyNumberFormat="1" applyFont="1" applyFill="1" applyBorder="1" applyAlignment="1">
      <alignment horizontal="center" vertical="center" wrapText="1"/>
    </xf>
    <xf numFmtId="0" fontId="60" fillId="0" borderId="0" xfId="0" applyFont="1" applyFill="1" applyAlignment="1">
      <alignment horizontal="center" vertical="center"/>
    </xf>
    <xf numFmtId="178" fontId="60" fillId="0" borderId="15" xfId="0" applyNumberFormat="1" applyFont="1" applyFill="1" applyBorder="1" applyAlignment="1">
      <alignment horizontal="center" vertical="center"/>
    </xf>
    <xf numFmtId="183" fontId="60" fillId="0" borderId="15" xfId="0" applyNumberFormat="1" applyFont="1" applyFill="1" applyBorder="1" applyAlignment="1">
      <alignment horizontal="center" vertical="center"/>
    </xf>
    <xf numFmtId="0" fontId="101" fillId="0" borderId="15" xfId="2011" applyFont="1" applyBorder="1" applyAlignment="1">
      <alignment horizontal="center" vertical="center" wrapText="1"/>
    </xf>
    <xf numFmtId="0" fontId="107" fillId="0" borderId="1" xfId="0" applyNumberFormat="1" applyFont="1" applyBorder="1" applyAlignment="1">
      <alignment horizontal="center" vertical="center"/>
    </xf>
    <xf numFmtId="0" fontId="107" fillId="0" borderId="1" xfId="0" applyNumberFormat="1" applyFont="1" applyFill="1" applyBorder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0" fontId="109" fillId="0" borderId="0" xfId="0" applyNumberFormat="1" applyFont="1" applyAlignment="1">
      <alignment horizontal="right" vertical="center"/>
    </xf>
    <xf numFmtId="0" fontId="10" fillId="2" borderId="4" xfId="0" applyNumberFormat="1" applyFont="1" applyFill="1" applyBorder="1" applyAlignment="1" applyProtection="1">
      <alignment horizontal="center" vertical="center"/>
      <protection locked="0"/>
    </xf>
    <xf numFmtId="0" fontId="5" fillId="2" borderId="4" xfId="0" applyNumberFormat="1" applyFont="1" applyFill="1" applyBorder="1" applyAlignment="1" applyProtection="1">
      <alignment horizontal="center" vertical="center"/>
      <protection locked="0"/>
    </xf>
    <xf numFmtId="0" fontId="0" fillId="0" borderId="4" xfId="0" applyBorder="1" applyAlignment="1">
      <alignment vertical="center"/>
    </xf>
    <xf numFmtId="0" fontId="4" fillId="3" borderId="15" xfId="0" applyFont="1" applyFill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66" fillId="0" borderId="4" xfId="0" applyFont="1" applyBorder="1" applyAlignment="1">
      <alignment horizontal="center" vertical="center"/>
    </xf>
    <xf numFmtId="0" fontId="67" fillId="0" borderId="4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63" fillId="3" borderId="14" xfId="0" applyFont="1" applyFill="1" applyBorder="1" applyAlignment="1">
      <alignment horizontal="center" vertical="center" wrapText="1"/>
    </xf>
    <xf numFmtId="0" fontId="4" fillId="3" borderId="14" xfId="0" applyFont="1" applyFill="1" applyBorder="1" applyAlignment="1">
      <alignment horizontal="center" vertical="center"/>
    </xf>
    <xf numFmtId="0" fontId="63" fillId="3" borderId="14" xfId="0" applyFont="1" applyFill="1" applyBorder="1" applyAlignment="1">
      <alignment horizontal="center" vertical="center"/>
    </xf>
    <xf numFmtId="0" fontId="2" fillId="2" borderId="0" xfId="0" applyNumberFormat="1" applyFont="1" applyFill="1" applyBorder="1" applyAlignment="1" applyProtection="1">
      <alignment horizontal="center" vertical="center"/>
      <protection locked="0"/>
    </xf>
    <xf numFmtId="0" fontId="5" fillId="2" borderId="0" xfId="0" applyNumberFormat="1" applyFont="1" applyFill="1" applyBorder="1" applyAlignment="1" applyProtection="1">
      <alignment horizontal="center" vertical="center"/>
      <protection locked="0"/>
    </xf>
    <xf numFmtId="0" fontId="2" fillId="3" borderId="0" xfId="0" applyNumberFormat="1" applyFont="1" applyFill="1" applyBorder="1" applyAlignment="1" applyProtection="1">
      <alignment horizontal="center" vertical="center"/>
      <protection locked="0"/>
    </xf>
    <xf numFmtId="0" fontId="5" fillId="3" borderId="0" xfId="0" applyNumberFormat="1" applyFont="1" applyFill="1" applyBorder="1" applyAlignment="1" applyProtection="1">
      <alignment horizontal="center" vertical="center"/>
      <protection locked="0"/>
    </xf>
    <xf numFmtId="0" fontId="2" fillId="3" borderId="4" xfId="0" applyNumberFormat="1" applyFont="1" applyFill="1" applyBorder="1" applyAlignment="1" applyProtection="1">
      <alignment horizontal="center" vertical="center"/>
      <protection locked="0"/>
    </xf>
    <xf numFmtId="0" fontId="10" fillId="2" borderId="0" xfId="0" applyNumberFormat="1" applyFont="1" applyFill="1" applyBorder="1" applyAlignment="1" applyProtection="1">
      <alignment horizontal="center" vertical="center"/>
      <protection locked="0"/>
    </xf>
    <xf numFmtId="0" fontId="12" fillId="2" borderId="0" xfId="0" applyNumberFormat="1" applyFont="1" applyFill="1" applyBorder="1" applyAlignment="1" applyProtection="1">
      <alignment horizontal="center" vertical="center"/>
      <protection locked="0"/>
    </xf>
    <xf numFmtId="0" fontId="16" fillId="0" borderId="4" xfId="0" applyFont="1" applyBorder="1" applyAlignment="1">
      <alignment horizontal="center" vertical="center"/>
    </xf>
    <xf numFmtId="0" fontId="60" fillId="2" borderId="15" xfId="0" applyFont="1" applyFill="1" applyBorder="1" applyAlignment="1">
      <alignment horizontal="center" vertical="center" wrapText="1"/>
    </xf>
    <xf numFmtId="0" fontId="60" fillId="2" borderId="15" xfId="0" applyFont="1" applyFill="1" applyBorder="1" applyAlignment="1">
      <alignment horizontal="center" vertical="center"/>
    </xf>
    <xf numFmtId="0" fontId="54" fillId="0" borderId="4" xfId="0" applyFont="1" applyBorder="1" applyAlignment="1">
      <alignment horizontal="center" vertical="center"/>
    </xf>
    <xf numFmtId="0" fontId="55" fillId="0" borderId="4" xfId="0" applyFont="1" applyBorder="1" applyAlignment="1">
      <alignment horizontal="center" vertical="center"/>
    </xf>
    <xf numFmtId="0" fontId="56" fillId="0" borderId="0" xfId="0" applyFont="1" applyAlignment="1">
      <alignment horizontal="center" vertical="center"/>
    </xf>
    <xf numFmtId="0" fontId="11" fillId="29" borderId="15" xfId="0" applyNumberFormat="1" applyFont="1" applyFill="1" applyBorder="1" applyAlignment="1">
      <alignment horizontal="center" vertical="center"/>
    </xf>
    <xf numFmtId="0" fontId="58" fillId="3" borderId="4" xfId="0" applyNumberFormat="1" applyFont="1" applyFill="1" applyBorder="1" applyAlignment="1">
      <alignment horizontal="center"/>
    </xf>
    <xf numFmtId="0" fontId="11" fillId="3" borderId="4" xfId="0" applyNumberFormat="1" applyFont="1" applyFill="1" applyBorder="1" applyAlignment="1">
      <alignment horizontal="center"/>
    </xf>
    <xf numFmtId="0" fontId="60" fillId="29" borderId="14" xfId="0" applyNumberFormat="1" applyFont="1" applyFill="1" applyBorder="1" applyAlignment="1">
      <alignment horizontal="center" vertical="center"/>
    </xf>
    <xf numFmtId="0" fontId="60" fillId="29" borderId="3" xfId="0" applyNumberFormat="1" applyFont="1" applyFill="1" applyBorder="1" applyAlignment="1">
      <alignment horizontal="center" vertical="center"/>
    </xf>
    <xf numFmtId="0" fontId="60" fillId="29" borderId="15" xfId="0" applyNumberFormat="1" applyFont="1" applyFill="1" applyBorder="1" applyAlignment="1">
      <alignment horizontal="center" vertical="center"/>
    </xf>
    <xf numFmtId="0" fontId="105" fillId="0" borderId="0" xfId="0" applyNumberFormat="1" applyFont="1" applyBorder="1" applyAlignment="1">
      <alignment horizontal="center" vertical="center"/>
    </xf>
    <xf numFmtId="184" fontId="0" fillId="0" borderId="0" xfId="0" applyNumberFormat="1" applyAlignment="1">
      <alignment vertical="center"/>
    </xf>
    <xf numFmtId="0" fontId="106" fillId="0" borderId="4" xfId="0" applyNumberFormat="1" applyFont="1" applyBorder="1" applyAlignment="1">
      <alignment vertical="center"/>
    </xf>
    <xf numFmtId="184" fontId="0" fillId="0" borderId="4" xfId="0" applyNumberFormat="1" applyBorder="1" applyAlignment="1">
      <alignment vertical="center"/>
    </xf>
    <xf numFmtId="181" fontId="88" fillId="0" borderId="4" xfId="1123" applyNumberFormat="1" applyFont="1" applyFill="1" applyBorder="1" applyAlignment="1">
      <alignment horizontal="center" vertical="center" wrapText="1"/>
    </xf>
    <xf numFmtId="0" fontId="92" fillId="0" borderId="0" xfId="0" applyNumberFormat="1" applyFont="1" applyFill="1" applyBorder="1" applyAlignment="1" applyProtection="1">
      <alignment horizontal="center" vertical="center"/>
    </xf>
    <xf numFmtId="0" fontId="94" fillId="29" borderId="15" xfId="0" applyNumberFormat="1" applyFont="1" applyFill="1" applyBorder="1" applyAlignment="1" applyProtection="1">
      <alignment horizontal="center" vertical="center" wrapText="1"/>
    </xf>
    <xf numFmtId="178" fontId="94" fillId="29" borderId="15" xfId="0" applyNumberFormat="1" applyFont="1" applyFill="1" applyBorder="1" applyAlignment="1" applyProtection="1">
      <alignment horizontal="center" vertical="center" wrapText="1"/>
    </xf>
    <xf numFmtId="0" fontId="95" fillId="29" borderId="15" xfId="0" applyFont="1" applyFill="1" applyBorder="1" applyAlignment="1">
      <alignment horizontal="center" vertical="center"/>
    </xf>
    <xf numFmtId="0" fontId="101" fillId="0" borderId="15" xfId="2011" applyFont="1" applyBorder="1" applyAlignment="1">
      <alignment horizontal="center" vertical="center" wrapText="1"/>
    </xf>
    <xf numFmtId="0" fontId="100" fillId="0" borderId="15" xfId="0" applyFont="1" applyBorder="1" applyAlignment="1">
      <alignment horizontal="center" vertical="center" wrapText="1"/>
    </xf>
    <xf numFmtId="0" fontId="0" fillId="0" borderId="15" xfId="0" applyBorder="1" applyAlignment="1">
      <alignment vertical="center" wrapText="1"/>
    </xf>
    <xf numFmtId="0" fontId="60" fillId="0" borderId="15" xfId="2013" applyFont="1" applyBorder="1" applyAlignment="1">
      <alignment horizontal="left" vertical="center" wrapText="1"/>
    </xf>
    <xf numFmtId="0" fontId="60" fillId="0" borderId="15" xfId="2011" applyFont="1" applyBorder="1" applyAlignment="1">
      <alignment horizontal="left" vertical="center" wrapText="1"/>
    </xf>
    <xf numFmtId="0" fontId="102" fillId="0" borderId="0" xfId="1104" applyFont="1" applyFill="1" applyAlignment="1">
      <alignment horizontal="center" vertical="center" wrapText="1"/>
    </xf>
    <xf numFmtId="183" fontId="102" fillId="0" borderId="0" xfId="1104" applyNumberFormat="1" applyFont="1" applyFill="1" applyAlignment="1">
      <alignment horizontal="center" vertical="center" wrapText="1"/>
    </xf>
    <xf numFmtId="0" fontId="0" fillId="0" borderId="0" xfId="0" applyAlignment="1">
      <alignment vertical="center" wrapText="1"/>
    </xf>
    <xf numFmtId="0" fontId="101" fillId="0" borderId="15" xfId="2013" applyFont="1" applyBorder="1" applyAlignment="1">
      <alignment horizontal="center" vertical="center" wrapText="1"/>
    </xf>
    <xf numFmtId="0" fontId="60" fillId="0" borderId="15" xfId="2013" applyFont="1" applyBorder="1" applyAlignment="1">
      <alignment horizontal="center" vertical="center" wrapText="1"/>
    </xf>
    <xf numFmtId="0" fontId="60" fillId="0" borderId="15" xfId="2011" applyFont="1" applyBorder="1" applyAlignment="1">
      <alignment horizontal="center" vertical="center" wrapText="1"/>
    </xf>
    <xf numFmtId="182" fontId="60" fillId="0" borderId="15" xfId="2011" applyNumberFormat="1" applyFont="1" applyBorder="1" applyAlignment="1">
      <alignment horizontal="center" vertical="center" wrapText="1"/>
    </xf>
    <xf numFmtId="0" fontId="104" fillId="0" borderId="4" xfId="0" applyFont="1" applyBorder="1" applyAlignment="1">
      <alignment horizontal="center" vertical="center"/>
    </xf>
    <xf numFmtId="0" fontId="56" fillId="0" borderId="4" xfId="0" applyFont="1" applyBorder="1" applyAlignment="1">
      <alignment horizontal="center" vertical="center"/>
    </xf>
    <xf numFmtId="0" fontId="71" fillId="3" borderId="4" xfId="2002" applyNumberFormat="1" applyFont="1" applyFill="1" applyBorder="1" applyAlignment="1" applyProtection="1">
      <alignment horizontal="center" vertical="center"/>
    </xf>
    <xf numFmtId="0" fontId="0" fillId="3" borderId="4" xfId="0" applyFont="1" applyFill="1" applyBorder="1" applyAlignment="1">
      <alignment horizontal="center" vertical="center"/>
    </xf>
    <xf numFmtId="0" fontId="75" fillId="3" borderId="0" xfId="2003" applyNumberFormat="1" applyFont="1" applyFill="1" applyAlignment="1">
      <alignment horizontal="center" vertical="center"/>
    </xf>
    <xf numFmtId="0" fontId="77" fillId="3" borderId="4" xfId="0" applyNumberFormat="1" applyFont="1" applyFill="1" applyBorder="1" applyAlignment="1">
      <alignment horizontal="center" vertical="center"/>
    </xf>
    <xf numFmtId="0" fontId="77" fillId="0" borderId="4" xfId="0" applyNumberFormat="1" applyFont="1" applyFill="1" applyBorder="1" applyAlignment="1">
      <alignment vertical="center"/>
    </xf>
    <xf numFmtId="0" fontId="81" fillId="0" borderId="4" xfId="2004" applyNumberFormat="1" applyFont="1" applyBorder="1" applyAlignment="1">
      <alignment horizontal="center" vertical="center"/>
    </xf>
    <xf numFmtId="0" fontId="83" fillId="3" borderId="4" xfId="2005" applyNumberFormat="1" applyFont="1" applyFill="1" applyBorder="1" applyAlignment="1">
      <alignment horizontal="center" vertical="center"/>
    </xf>
    <xf numFmtId="0" fontId="0" fillId="3" borderId="4" xfId="0" applyNumberFormat="1" applyFill="1" applyBorder="1" applyAlignment="1">
      <alignment vertical="center"/>
    </xf>
    <xf numFmtId="0" fontId="97" fillId="0" borderId="4" xfId="0" applyNumberFormat="1" applyFont="1" applyFill="1" applyBorder="1" applyAlignment="1" applyProtection="1">
      <alignment horizontal="center" vertical="center"/>
    </xf>
    <xf numFmtId="0" fontId="20" fillId="0" borderId="15" xfId="0" applyNumberFormat="1" applyFont="1" applyFill="1" applyBorder="1" applyAlignment="1" applyProtection="1">
      <alignment horizontal="center" vertical="center"/>
    </xf>
    <xf numFmtId="178" fontId="108" fillId="0" borderId="1" xfId="0" applyNumberFormat="1" applyFont="1" applyBorder="1" applyAlignment="1">
      <alignment horizontal="right" vertical="center"/>
    </xf>
    <xf numFmtId="178" fontId="107" fillId="0" borderId="1" xfId="0" applyNumberFormat="1" applyFont="1" applyBorder="1" applyAlignment="1">
      <alignment horizontal="right" vertical="center"/>
    </xf>
  </cellXfs>
  <cellStyles count="2014">
    <cellStyle name="20% - 强调文字颜色 1 2" xfId="2"/>
    <cellStyle name="20% - 强调文字颜色 1 2 2" xfId="3"/>
    <cellStyle name="20% - 强调文字颜色 1 2 2 2" xfId="4"/>
    <cellStyle name="20% - 强调文字颜色 1 2 2 2 2" xfId="5"/>
    <cellStyle name="20% - 强调文字颜色 1 2 2 3" xfId="6"/>
    <cellStyle name="20% - 强调文字颜色 1 2 3" xfId="7"/>
    <cellStyle name="20% - 强调文字颜色 1 2 3 2" xfId="8"/>
    <cellStyle name="20% - 强调文字颜色 1 2 4" xfId="9"/>
    <cellStyle name="20% - 强调文字颜色 1 3" xfId="10"/>
    <cellStyle name="20% - 强调文字颜色 1 3 2" xfId="11"/>
    <cellStyle name="20% - 强调文字颜色 1 3 2 2" xfId="12"/>
    <cellStyle name="20% - 强调文字颜色 1 3 2 2 2" xfId="13"/>
    <cellStyle name="20% - 强调文字颜色 1 3 2 3" xfId="14"/>
    <cellStyle name="20% - 强调文字颜色 1 3 3" xfId="15"/>
    <cellStyle name="20% - 强调文字颜色 1 3 3 2" xfId="16"/>
    <cellStyle name="20% - 强调文字颜色 1 3 4" xfId="17"/>
    <cellStyle name="20% - 强调文字颜色 1 4" xfId="18"/>
    <cellStyle name="20% - 强调文字颜色 1 4 2" xfId="19"/>
    <cellStyle name="20% - 强调文字颜色 1 4 2 2" xfId="20"/>
    <cellStyle name="20% - 强调文字颜色 1 4 2 2 2" xfId="21"/>
    <cellStyle name="20% - 强调文字颜色 1 4 2 3" xfId="22"/>
    <cellStyle name="20% - 强调文字颜色 1 4 3" xfId="23"/>
    <cellStyle name="20% - 强调文字颜色 1 4 3 2" xfId="24"/>
    <cellStyle name="20% - 强调文字颜色 1 4 4" xfId="25"/>
    <cellStyle name="20% - 强调文字颜色 1 5" xfId="26"/>
    <cellStyle name="20% - 强调文字颜色 1 5 2" xfId="27"/>
    <cellStyle name="20% - 强调文字颜色 1 5 2 2" xfId="28"/>
    <cellStyle name="20% - 强调文字颜色 1 5 3" xfId="29"/>
    <cellStyle name="20% - 强调文字颜色 1 6" xfId="30"/>
    <cellStyle name="20% - 强调文字颜色 1 6 2" xfId="31"/>
    <cellStyle name="20% - 强调文字颜色 1 6 2 2" xfId="32"/>
    <cellStyle name="20% - 强调文字颜色 1 6 3" xfId="33"/>
    <cellStyle name="20% - 强调文字颜色 1 7" xfId="34"/>
    <cellStyle name="20% - 强调文字颜色 1 7 2" xfId="35"/>
    <cellStyle name="20% - 强调文字颜色 1 7 2 2" xfId="36"/>
    <cellStyle name="20% - 强调文字颜色 1 7 3" xfId="37"/>
    <cellStyle name="20% - 强调文字颜色 2 2" xfId="38"/>
    <cellStyle name="20% - 强调文字颜色 2 2 2" xfId="39"/>
    <cellStyle name="20% - 强调文字颜色 2 2 2 2" xfId="40"/>
    <cellStyle name="20% - 强调文字颜色 2 2 2 2 2" xfId="41"/>
    <cellStyle name="20% - 强调文字颜色 2 2 2 3" xfId="42"/>
    <cellStyle name="20% - 强调文字颜色 2 2 3" xfId="43"/>
    <cellStyle name="20% - 强调文字颜色 2 2 3 2" xfId="44"/>
    <cellStyle name="20% - 强调文字颜色 2 2 4" xfId="45"/>
    <cellStyle name="20% - 强调文字颜色 2 3" xfId="46"/>
    <cellStyle name="20% - 强调文字颜色 2 3 2" xfId="47"/>
    <cellStyle name="20% - 强调文字颜色 2 3 2 2" xfId="48"/>
    <cellStyle name="20% - 强调文字颜色 2 3 2 2 2" xfId="49"/>
    <cellStyle name="20% - 强调文字颜色 2 3 2 3" xfId="50"/>
    <cellStyle name="20% - 强调文字颜色 2 3 3" xfId="51"/>
    <cellStyle name="20% - 强调文字颜色 2 3 3 2" xfId="52"/>
    <cellStyle name="20% - 强调文字颜色 2 3 4" xfId="53"/>
    <cellStyle name="20% - 强调文字颜色 2 4" xfId="54"/>
    <cellStyle name="20% - 强调文字颜色 2 4 2" xfId="55"/>
    <cellStyle name="20% - 强调文字颜色 2 4 2 2" xfId="56"/>
    <cellStyle name="20% - 强调文字颜色 2 4 2 2 2" xfId="57"/>
    <cellStyle name="20% - 强调文字颜色 2 4 2 3" xfId="58"/>
    <cellStyle name="20% - 强调文字颜色 2 4 3" xfId="59"/>
    <cellStyle name="20% - 强调文字颜色 2 4 3 2" xfId="60"/>
    <cellStyle name="20% - 强调文字颜色 2 4 4" xfId="61"/>
    <cellStyle name="20% - 强调文字颜色 2 5" xfId="62"/>
    <cellStyle name="20% - 强调文字颜色 2 5 2" xfId="63"/>
    <cellStyle name="20% - 强调文字颜色 2 5 2 2" xfId="64"/>
    <cellStyle name="20% - 强调文字颜色 2 5 3" xfId="65"/>
    <cellStyle name="20% - 强调文字颜色 2 6" xfId="66"/>
    <cellStyle name="20% - 强调文字颜色 2 6 2" xfId="67"/>
    <cellStyle name="20% - 强调文字颜色 2 6 2 2" xfId="68"/>
    <cellStyle name="20% - 强调文字颜色 2 6 3" xfId="69"/>
    <cellStyle name="20% - 强调文字颜色 2 7" xfId="70"/>
    <cellStyle name="20% - 强调文字颜色 2 7 2" xfId="71"/>
    <cellStyle name="20% - 强调文字颜色 2 7 2 2" xfId="72"/>
    <cellStyle name="20% - 强调文字颜色 2 7 3" xfId="73"/>
    <cellStyle name="20% - 强调文字颜色 3 2" xfId="74"/>
    <cellStyle name="20% - 强调文字颜色 3 2 2" xfId="75"/>
    <cellStyle name="20% - 强调文字颜色 3 2 2 2" xfId="76"/>
    <cellStyle name="20% - 强调文字颜色 3 2 2 2 2" xfId="77"/>
    <cellStyle name="20% - 强调文字颜色 3 2 2 3" xfId="78"/>
    <cellStyle name="20% - 强调文字颜色 3 2 3" xfId="79"/>
    <cellStyle name="20% - 强调文字颜色 3 2 3 2" xfId="80"/>
    <cellStyle name="20% - 强调文字颜色 3 2 4" xfId="81"/>
    <cellStyle name="20% - 强调文字颜色 3 3" xfId="82"/>
    <cellStyle name="20% - 强调文字颜色 3 3 2" xfId="83"/>
    <cellStyle name="20% - 强调文字颜色 3 3 2 2" xfId="84"/>
    <cellStyle name="20% - 强调文字颜色 3 3 2 2 2" xfId="85"/>
    <cellStyle name="20% - 强调文字颜色 3 3 2 3" xfId="86"/>
    <cellStyle name="20% - 强调文字颜色 3 3 3" xfId="87"/>
    <cellStyle name="20% - 强调文字颜色 3 3 3 2" xfId="88"/>
    <cellStyle name="20% - 强调文字颜色 3 3 4" xfId="89"/>
    <cellStyle name="20% - 强调文字颜色 3 4" xfId="90"/>
    <cellStyle name="20% - 强调文字颜色 3 4 2" xfId="91"/>
    <cellStyle name="20% - 强调文字颜色 3 4 2 2" xfId="92"/>
    <cellStyle name="20% - 强调文字颜色 3 4 2 2 2" xfId="93"/>
    <cellStyle name="20% - 强调文字颜色 3 4 2 3" xfId="94"/>
    <cellStyle name="20% - 强调文字颜色 3 4 3" xfId="95"/>
    <cellStyle name="20% - 强调文字颜色 3 4 3 2" xfId="96"/>
    <cellStyle name="20% - 强调文字颜色 3 4 4" xfId="97"/>
    <cellStyle name="20% - 强调文字颜色 3 5" xfId="98"/>
    <cellStyle name="20% - 强调文字颜色 3 5 2" xfId="99"/>
    <cellStyle name="20% - 强调文字颜色 3 5 2 2" xfId="100"/>
    <cellStyle name="20% - 强调文字颜色 3 5 3" xfId="101"/>
    <cellStyle name="20% - 强调文字颜色 3 6" xfId="102"/>
    <cellStyle name="20% - 强调文字颜色 3 6 2" xfId="103"/>
    <cellStyle name="20% - 强调文字颜色 3 6 2 2" xfId="104"/>
    <cellStyle name="20% - 强调文字颜色 3 6 3" xfId="105"/>
    <cellStyle name="20% - 强调文字颜色 3 7" xfId="106"/>
    <cellStyle name="20% - 强调文字颜色 3 7 2" xfId="107"/>
    <cellStyle name="20% - 强调文字颜色 3 7 2 2" xfId="108"/>
    <cellStyle name="20% - 强调文字颜色 3 7 3" xfId="109"/>
    <cellStyle name="20% - 强调文字颜色 4 2" xfId="110"/>
    <cellStyle name="20% - 强调文字颜色 4 2 2" xfId="111"/>
    <cellStyle name="20% - 强调文字颜色 4 2 2 2" xfId="112"/>
    <cellStyle name="20% - 强调文字颜色 4 2 2 2 2" xfId="113"/>
    <cellStyle name="20% - 强调文字颜色 4 2 2 3" xfId="114"/>
    <cellStyle name="20% - 强调文字颜色 4 2 3" xfId="115"/>
    <cellStyle name="20% - 强调文字颜色 4 2 3 2" xfId="116"/>
    <cellStyle name="20% - 强调文字颜色 4 2 4" xfId="117"/>
    <cellStyle name="20% - 强调文字颜色 4 3" xfId="118"/>
    <cellStyle name="20% - 强调文字颜色 4 3 2" xfId="119"/>
    <cellStyle name="20% - 强调文字颜色 4 3 2 2" xfId="120"/>
    <cellStyle name="20% - 强调文字颜色 4 3 2 2 2" xfId="121"/>
    <cellStyle name="20% - 强调文字颜色 4 3 2 3" xfId="122"/>
    <cellStyle name="20% - 强调文字颜色 4 3 3" xfId="123"/>
    <cellStyle name="20% - 强调文字颜色 4 3 3 2" xfId="124"/>
    <cellStyle name="20% - 强调文字颜色 4 3 4" xfId="125"/>
    <cellStyle name="20% - 强调文字颜色 4 4" xfId="126"/>
    <cellStyle name="20% - 强调文字颜色 4 4 2" xfId="127"/>
    <cellStyle name="20% - 强调文字颜色 4 4 2 2" xfId="128"/>
    <cellStyle name="20% - 强调文字颜色 4 4 2 2 2" xfId="129"/>
    <cellStyle name="20% - 强调文字颜色 4 4 2 3" xfId="130"/>
    <cellStyle name="20% - 强调文字颜色 4 4 3" xfId="131"/>
    <cellStyle name="20% - 强调文字颜色 4 4 3 2" xfId="132"/>
    <cellStyle name="20% - 强调文字颜色 4 4 4" xfId="133"/>
    <cellStyle name="20% - 强调文字颜色 4 5" xfId="134"/>
    <cellStyle name="20% - 强调文字颜色 4 5 2" xfId="135"/>
    <cellStyle name="20% - 强调文字颜色 4 5 2 2" xfId="136"/>
    <cellStyle name="20% - 强调文字颜色 4 5 3" xfId="137"/>
    <cellStyle name="20% - 强调文字颜色 4 6" xfId="138"/>
    <cellStyle name="20% - 强调文字颜色 4 6 2" xfId="139"/>
    <cellStyle name="20% - 强调文字颜色 4 6 2 2" xfId="140"/>
    <cellStyle name="20% - 强调文字颜色 4 6 3" xfId="141"/>
    <cellStyle name="20% - 强调文字颜色 4 7" xfId="142"/>
    <cellStyle name="20% - 强调文字颜色 4 7 2" xfId="143"/>
    <cellStyle name="20% - 强调文字颜色 4 7 2 2" xfId="144"/>
    <cellStyle name="20% - 强调文字颜色 4 7 3" xfId="145"/>
    <cellStyle name="20% - 强调文字颜色 5 2" xfId="146"/>
    <cellStyle name="20% - 强调文字颜色 5 2 2" xfId="147"/>
    <cellStyle name="20% - 强调文字颜色 5 2 2 2" xfId="148"/>
    <cellStyle name="20% - 强调文字颜色 5 2 2 2 2" xfId="149"/>
    <cellStyle name="20% - 强调文字颜色 5 2 2 3" xfId="150"/>
    <cellStyle name="20% - 强调文字颜色 5 2 3" xfId="151"/>
    <cellStyle name="20% - 强调文字颜色 5 2 3 2" xfId="152"/>
    <cellStyle name="20% - 强调文字颜色 5 2 4" xfId="153"/>
    <cellStyle name="20% - 强调文字颜色 5 3" xfId="154"/>
    <cellStyle name="20% - 强调文字颜色 5 3 2" xfId="155"/>
    <cellStyle name="20% - 强调文字颜色 5 3 2 2" xfId="156"/>
    <cellStyle name="20% - 强调文字颜色 5 3 2 2 2" xfId="157"/>
    <cellStyle name="20% - 强调文字颜色 5 3 2 3" xfId="158"/>
    <cellStyle name="20% - 强调文字颜色 5 3 3" xfId="159"/>
    <cellStyle name="20% - 强调文字颜色 5 3 3 2" xfId="160"/>
    <cellStyle name="20% - 强调文字颜色 5 3 4" xfId="161"/>
    <cellStyle name="20% - 强调文字颜色 5 4" xfId="162"/>
    <cellStyle name="20% - 强调文字颜色 5 4 2" xfId="163"/>
    <cellStyle name="20% - 强调文字颜色 5 4 2 2" xfId="164"/>
    <cellStyle name="20% - 强调文字颜色 5 4 2 2 2" xfId="165"/>
    <cellStyle name="20% - 强调文字颜色 5 4 2 3" xfId="166"/>
    <cellStyle name="20% - 强调文字颜色 5 4 3" xfId="167"/>
    <cellStyle name="20% - 强调文字颜色 5 4 3 2" xfId="168"/>
    <cellStyle name="20% - 强调文字颜色 5 4 4" xfId="169"/>
    <cellStyle name="20% - 强调文字颜色 5 5" xfId="170"/>
    <cellStyle name="20% - 强调文字颜色 5 5 2" xfId="171"/>
    <cellStyle name="20% - 强调文字颜色 5 5 2 2" xfId="172"/>
    <cellStyle name="20% - 强调文字颜色 5 5 3" xfId="173"/>
    <cellStyle name="20% - 强调文字颜色 5 6" xfId="174"/>
    <cellStyle name="20% - 强调文字颜色 5 6 2" xfId="175"/>
    <cellStyle name="20% - 强调文字颜色 5 6 2 2" xfId="176"/>
    <cellStyle name="20% - 强调文字颜色 5 6 3" xfId="177"/>
    <cellStyle name="20% - 强调文字颜色 5 7" xfId="178"/>
    <cellStyle name="20% - 强调文字颜色 5 7 2" xfId="179"/>
    <cellStyle name="20% - 强调文字颜色 5 7 2 2" xfId="180"/>
    <cellStyle name="20% - 强调文字颜色 5 7 3" xfId="181"/>
    <cellStyle name="20% - 强调文字颜色 6 2" xfId="182"/>
    <cellStyle name="20% - 强调文字颜色 6 2 2" xfId="183"/>
    <cellStyle name="20% - 强调文字颜色 6 2 2 2" xfId="184"/>
    <cellStyle name="20% - 强调文字颜色 6 2 2 2 2" xfId="185"/>
    <cellStyle name="20% - 强调文字颜色 6 2 2 3" xfId="186"/>
    <cellStyle name="20% - 强调文字颜色 6 2 3" xfId="187"/>
    <cellStyle name="20% - 强调文字颜色 6 2 3 2" xfId="188"/>
    <cellStyle name="20% - 强调文字颜色 6 2 4" xfId="189"/>
    <cellStyle name="20% - 强调文字颜色 6 3" xfId="190"/>
    <cellStyle name="20% - 强调文字颜色 6 3 2" xfId="191"/>
    <cellStyle name="20% - 强调文字颜色 6 3 2 2" xfId="192"/>
    <cellStyle name="20% - 强调文字颜色 6 3 2 2 2" xfId="193"/>
    <cellStyle name="20% - 强调文字颜色 6 3 2 3" xfId="194"/>
    <cellStyle name="20% - 强调文字颜色 6 3 3" xfId="195"/>
    <cellStyle name="20% - 强调文字颜色 6 3 3 2" xfId="196"/>
    <cellStyle name="20% - 强调文字颜色 6 3 4" xfId="197"/>
    <cellStyle name="20% - 强调文字颜色 6 4" xfId="198"/>
    <cellStyle name="20% - 强调文字颜色 6 4 2" xfId="199"/>
    <cellStyle name="20% - 强调文字颜色 6 4 2 2" xfId="200"/>
    <cellStyle name="20% - 强调文字颜色 6 4 2 2 2" xfId="201"/>
    <cellStyle name="20% - 强调文字颜色 6 4 2 3" xfId="202"/>
    <cellStyle name="20% - 强调文字颜色 6 4 3" xfId="203"/>
    <cellStyle name="20% - 强调文字颜色 6 4 3 2" xfId="204"/>
    <cellStyle name="20% - 强调文字颜色 6 4 4" xfId="205"/>
    <cellStyle name="20% - 强调文字颜色 6 5" xfId="206"/>
    <cellStyle name="20% - 强调文字颜色 6 5 2" xfId="207"/>
    <cellStyle name="20% - 强调文字颜色 6 5 2 2" xfId="208"/>
    <cellStyle name="20% - 强调文字颜色 6 5 3" xfId="209"/>
    <cellStyle name="20% - 强调文字颜色 6 6" xfId="210"/>
    <cellStyle name="20% - 强调文字颜色 6 6 2" xfId="211"/>
    <cellStyle name="20% - 强调文字颜色 6 6 2 2" xfId="212"/>
    <cellStyle name="20% - 强调文字颜色 6 6 3" xfId="213"/>
    <cellStyle name="20% - 强调文字颜色 6 7" xfId="214"/>
    <cellStyle name="20% - 强调文字颜色 6 7 2" xfId="215"/>
    <cellStyle name="20% - 强调文字颜色 6 7 2 2" xfId="216"/>
    <cellStyle name="20% - 强调文字颜色 6 7 3" xfId="217"/>
    <cellStyle name="20% - 着色 1 2" xfId="218"/>
    <cellStyle name="20% - 着色 1 2 2" xfId="219"/>
    <cellStyle name="20% - 着色 1 2 2 2" xfId="220"/>
    <cellStyle name="20% - 着色 1 2 2 2 2" xfId="221"/>
    <cellStyle name="20% - 着色 1 2 2 3" xfId="222"/>
    <cellStyle name="20% - 着色 1 2 3" xfId="223"/>
    <cellStyle name="20% - 着色 1 2 3 2" xfId="224"/>
    <cellStyle name="20% - 着色 1 2 4" xfId="225"/>
    <cellStyle name="20% - 着色 1 3" xfId="226"/>
    <cellStyle name="20% - 着色 1 3 2" xfId="227"/>
    <cellStyle name="20% - 着色 1 3 2 2" xfId="228"/>
    <cellStyle name="20% - 着色 1 3 3" xfId="229"/>
    <cellStyle name="20% - 着色 1 4" xfId="230"/>
    <cellStyle name="20% - 着色 1 4 2" xfId="231"/>
    <cellStyle name="20% - 着色 1 4 2 2" xfId="232"/>
    <cellStyle name="20% - 着色 1 4 3" xfId="233"/>
    <cellStyle name="20% - 着色 1 5" xfId="234"/>
    <cellStyle name="20% - 着色 1 5 2" xfId="235"/>
    <cellStyle name="20% - 着色 1 6" xfId="236"/>
    <cellStyle name="20% - 着色 2 2" xfId="237"/>
    <cellStyle name="20% - 着色 2 2 2" xfId="238"/>
    <cellStyle name="20% - 着色 2 2 2 2" xfId="239"/>
    <cellStyle name="20% - 着色 2 2 2 2 2" xfId="240"/>
    <cellStyle name="20% - 着色 2 2 2 3" xfId="241"/>
    <cellStyle name="20% - 着色 2 2 3" xfId="242"/>
    <cellStyle name="20% - 着色 2 2 3 2" xfId="243"/>
    <cellStyle name="20% - 着色 2 2 4" xfId="244"/>
    <cellStyle name="20% - 着色 2 3" xfId="245"/>
    <cellStyle name="20% - 着色 2 3 2" xfId="246"/>
    <cellStyle name="20% - 着色 2 3 2 2" xfId="247"/>
    <cellStyle name="20% - 着色 2 3 3" xfId="248"/>
    <cellStyle name="20% - 着色 2 4" xfId="249"/>
    <cellStyle name="20% - 着色 2 4 2" xfId="250"/>
    <cellStyle name="20% - 着色 2 4 2 2" xfId="251"/>
    <cellStyle name="20% - 着色 2 4 3" xfId="252"/>
    <cellStyle name="20% - 着色 2 5" xfId="253"/>
    <cellStyle name="20% - 着色 2 5 2" xfId="254"/>
    <cellStyle name="20% - 着色 2 6" xfId="255"/>
    <cellStyle name="20% - 着色 3 2" xfId="256"/>
    <cellStyle name="20% - 着色 3 2 2" xfId="257"/>
    <cellStyle name="20% - 着色 3 2 2 2" xfId="258"/>
    <cellStyle name="20% - 着色 3 2 2 2 2" xfId="259"/>
    <cellStyle name="20% - 着色 3 2 2 3" xfId="260"/>
    <cellStyle name="20% - 着色 3 2 3" xfId="261"/>
    <cellStyle name="20% - 着色 3 2 3 2" xfId="262"/>
    <cellStyle name="20% - 着色 3 2 4" xfId="263"/>
    <cellStyle name="20% - 着色 3 3" xfId="264"/>
    <cellStyle name="20% - 着色 3 3 2" xfId="265"/>
    <cellStyle name="20% - 着色 3 3 2 2" xfId="266"/>
    <cellStyle name="20% - 着色 3 3 3" xfId="267"/>
    <cellStyle name="20% - 着色 3 4" xfId="268"/>
    <cellStyle name="20% - 着色 3 4 2" xfId="269"/>
    <cellStyle name="20% - 着色 3 4 2 2" xfId="270"/>
    <cellStyle name="20% - 着色 3 4 3" xfId="271"/>
    <cellStyle name="20% - 着色 3 5" xfId="272"/>
    <cellStyle name="20% - 着色 3 5 2" xfId="273"/>
    <cellStyle name="20% - 着色 3 6" xfId="274"/>
    <cellStyle name="20% - 着色 4 2" xfId="275"/>
    <cellStyle name="20% - 着色 4 2 2" xfId="276"/>
    <cellStyle name="20% - 着色 4 2 2 2" xfId="277"/>
    <cellStyle name="20% - 着色 4 2 2 2 2" xfId="278"/>
    <cellStyle name="20% - 着色 4 2 2 3" xfId="279"/>
    <cellStyle name="20% - 着色 4 2 3" xfId="280"/>
    <cellStyle name="20% - 着色 4 2 3 2" xfId="281"/>
    <cellStyle name="20% - 着色 4 2 4" xfId="282"/>
    <cellStyle name="20% - 着色 4 3" xfId="283"/>
    <cellStyle name="20% - 着色 4 3 2" xfId="284"/>
    <cellStyle name="20% - 着色 4 3 2 2" xfId="285"/>
    <cellStyle name="20% - 着色 4 3 3" xfId="286"/>
    <cellStyle name="20% - 着色 4 4" xfId="287"/>
    <cellStyle name="20% - 着色 4 4 2" xfId="288"/>
    <cellStyle name="20% - 着色 4 4 2 2" xfId="289"/>
    <cellStyle name="20% - 着色 4 4 3" xfId="290"/>
    <cellStyle name="20% - 着色 4 5" xfId="291"/>
    <cellStyle name="20% - 着色 4 5 2" xfId="292"/>
    <cellStyle name="20% - 着色 4 6" xfId="293"/>
    <cellStyle name="20% - 着色 5 2" xfId="294"/>
    <cellStyle name="20% - 着色 5 2 2" xfId="295"/>
    <cellStyle name="20% - 着色 5 2 2 2" xfId="296"/>
    <cellStyle name="20% - 着色 5 2 2 2 2" xfId="297"/>
    <cellStyle name="20% - 着色 5 2 2 3" xfId="298"/>
    <cellStyle name="20% - 着色 5 2 3" xfId="299"/>
    <cellStyle name="20% - 着色 5 2 3 2" xfId="300"/>
    <cellStyle name="20% - 着色 5 2 4" xfId="301"/>
    <cellStyle name="20% - 着色 5 3" xfId="302"/>
    <cellStyle name="20% - 着色 5 3 2" xfId="303"/>
    <cellStyle name="20% - 着色 5 3 2 2" xfId="304"/>
    <cellStyle name="20% - 着色 5 3 3" xfId="305"/>
    <cellStyle name="20% - 着色 5 4" xfId="306"/>
    <cellStyle name="20% - 着色 5 4 2" xfId="307"/>
    <cellStyle name="20% - 着色 5 4 2 2" xfId="308"/>
    <cellStyle name="20% - 着色 5 4 3" xfId="309"/>
    <cellStyle name="20% - 着色 5 5" xfId="310"/>
    <cellStyle name="20% - 着色 5 5 2" xfId="311"/>
    <cellStyle name="20% - 着色 5 6" xfId="312"/>
    <cellStyle name="20% - 着色 6 2" xfId="313"/>
    <cellStyle name="20% - 着色 6 2 2" xfId="314"/>
    <cellStyle name="20% - 着色 6 2 2 2" xfId="315"/>
    <cellStyle name="20% - 着色 6 2 2 2 2" xfId="316"/>
    <cellStyle name="20% - 着色 6 2 2 3" xfId="317"/>
    <cellStyle name="20% - 着色 6 2 3" xfId="318"/>
    <cellStyle name="20% - 着色 6 2 3 2" xfId="319"/>
    <cellStyle name="20% - 着色 6 2 4" xfId="320"/>
    <cellStyle name="20% - 着色 6 3" xfId="321"/>
    <cellStyle name="20% - 着色 6 3 2" xfId="322"/>
    <cellStyle name="20% - 着色 6 3 2 2" xfId="323"/>
    <cellStyle name="20% - 着色 6 3 3" xfId="324"/>
    <cellStyle name="20% - 着色 6 4" xfId="325"/>
    <cellStyle name="20% - 着色 6 4 2" xfId="326"/>
    <cellStyle name="20% - 着色 6 4 2 2" xfId="327"/>
    <cellStyle name="20% - 着色 6 4 3" xfId="328"/>
    <cellStyle name="20% - 着色 6 5" xfId="329"/>
    <cellStyle name="20% - 着色 6 5 2" xfId="330"/>
    <cellStyle name="20% - 着色 6 6" xfId="331"/>
    <cellStyle name="40% - 强调文字颜色 1 2" xfId="332"/>
    <cellStyle name="40% - 强调文字颜色 1 2 2" xfId="333"/>
    <cellStyle name="40% - 强调文字颜色 1 2 2 2" xfId="334"/>
    <cellStyle name="40% - 强调文字颜色 1 2 2 2 2" xfId="335"/>
    <cellStyle name="40% - 强调文字颜色 1 2 2 3" xfId="336"/>
    <cellStyle name="40% - 强调文字颜色 1 2 3" xfId="337"/>
    <cellStyle name="40% - 强调文字颜色 1 2 3 2" xfId="338"/>
    <cellStyle name="40% - 强调文字颜色 1 2 4" xfId="339"/>
    <cellStyle name="40% - 强调文字颜色 1 3" xfId="340"/>
    <cellStyle name="40% - 强调文字颜色 1 3 2" xfId="341"/>
    <cellStyle name="40% - 强调文字颜色 1 3 2 2" xfId="342"/>
    <cellStyle name="40% - 强调文字颜色 1 3 2 2 2" xfId="343"/>
    <cellStyle name="40% - 强调文字颜色 1 3 2 3" xfId="344"/>
    <cellStyle name="40% - 强调文字颜色 1 3 3" xfId="345"/>
    <cellStyle name="40% - 强调文字颜色 1 3 3 2" xfId="346"/>
    <cellStyle name="40% - 强调文字颜色 1 3 4" xfId="347"/>
    <cellStyle name="40% - 强调文字颜色 1 4" xfId="348"/>
    <cellStyle name="40% - 强调文字颜色 1 4 2" xfId="349"/>
    <cellStyle name="40% - 强调文字颜色 1 4 2 2" xfId="350"/>
    <cellStyle name="40% - 强调文字颜色 1 4 2 2 2" xfId="351"/>
    <cellStyle name="40% - 强调文字颜色 1 4 2 3" xfId="352"/>
    <cellStyle name="40% - 强调文字颜色 1 4 3" xfId="353"/>
    <cellStyle name="40% - 强调文字颜色 1 4 3 2" xfId="354"/>
    <cellStyle name="40% - 强调文字颜色 1 4 4" xfId="355"/>
    <cellStyle name="40% - 强调文字颜色 1 5" xfId="356"/>
    <cellStyle name="40% - 强调文字颜色 1 5 2" xfId="357"/>
    <cellStyle name="40% - 强调文字颜色 1 5 2 2" xfId="358"/>
    <cellStyle name="40% - 强调文字颜色 1 5 3" xfId="359"/>
    <cellStyle name="40% - 强调文字颜色 1 6" xfId="360"/>
    <cellStyle name="40% - 强调文字颜色 1 6 2" xfId="361"/>
    <cellStyle name="40% - 强调文字颜色 1 6 2 2" xfId="362"/>
    <cellStyle name="40% - 强调文字颜色 1 6 3" xfId="363"/>
    <cellStyle name="40% - 强调文字颜色 1 7" xfId="364"/>
    <cellStyle name="40% - 强调文字颜色 1 7 2" xfId="365"/>
    <cellStyle name="40% - 强调文字颜色 1 7 2 2" xfId="366"/>
    <cellStyle name="40% - 强调文字颜色 1 7 3" xfId="367"/>
    <cellStyle name="40% - 强调文字颜色 2 2" xfId="368"/>
    <cellStyle name="40% - 强调文字颜色 2 2 2" xfId="369"/>
    <cellStyle name="40% - 强调文字颜色 2 2 2 2" xfId="370"/>
    <cellStyle name="40% - 强调文字颜色 2 2 2 2 2" xfId="371"/>
    <cellStyle name="40% - 强调文字颜色 2 2 2 3" xfId="372"/>
    <cellStyle name="40% - 强调文字颜色 2 2 3" xfId="373"/>
    <cellStyle name="40% - 强调文字颜色 2 2 3 2" xfId="374"/>
    <cellStyle name="40% - 强调文字颜色 2 2 4" xfId="375"/>
    <cellStyle name="40% - 强调文字颜色 2 3" xfId="376"/>
    <cellStyle name="40% - 强调文字颜色 2 3 2" xfId="377"/>
    <cellStyle name="40% - 强调文字颜色 2 3 2 2" xfId="378"/>
    <cellStyle name="40% - 强调文字颜色 2 3 2 2 2" xfId="379"/>
    <cellStyle name="40% - 强调文字颜色 2 3 2 3" xfId="380"/>
    <cellStyle name="40% - 强调文字颜色 2 3 3" xfId="381"/>
    <cellStyle name="40% - 强调文字颜色 2 3 3 2" xfId="382"/>
    <cellStyle name="40% - 强调文字颜色 2 3 4" xfId="383"/>
    <cellStyle name="40% - 强调文字颜色 2 4" xfId="384"/>
    <cellStyle name="40% - 强调文字颜色 2 4 2" xfId="385"/>
    <cellStyle name="40% - 强调文字颜色 2 4 2 2" xfId="386"/>
    <cellStyle name="40% - 强调文字颜色 2 4 2 2 2" xfId="387"/>
    <cellStyle name="40% - 强调文字颜色 2 4 2 3" xfId="388"/>
    <cellStyle name="40% - 强调文字颜色 2 4 3" xfId="389"/>
    <cellStyle name="40% - 强调文字颜色 2 4 3 2" xfId="390"/>
    <cellStyle name="40% - 强调文字颜色 2 4 4" xfId="391"/>
    <cellStyle name="40% - 强调文字颜色 2 5" xfId="392"/>
    <cellStyle name="40% - 强调文字颜色 2 5 2" xfId="393"/>
    <cellStyle name="40% - 强调文字颜色 2 5 2 2" xfId="394"/>
    <cellStyle name="40% - 强调文字颜色 2 5 3" xfId="395"/>
    <cellStyle name="40% - 强调文字颜色 2 6" xfId="396"/>
    <cellStyle name="40% - 强调文字颜色 2 6 2" xfId="397"/>
    <cellStyle name="40% - 强调文字颜色 2 6 2 2" xfId="398"/>
    <cellStyle name="40% - 强调文字颜色 2 6 3" xfId="399"/>
    <cellStyle name="40% - 强调文字颜色 2 7" xfId="400"/>
    <cellStyle name="40% - 强调文字颜色 2 7 2" xfId="401"/>
    <cellStyle name="40% - 强调文字颜色 2 7 2 2" xfId="402"/>
    <cellStyle name="40% - 强调文字颜色 2 7 3" xfId="403"/>
    <cellStyle name="40% - 强调文字颜色 3 2" xfId="404"/>
    <cellStyle name="40% - 强调文字颜色 3 2 2" xfId="405"/>
    <cellStyle name="40% - 强调文字颜色 3 2 2 2" xfId="406"/>
    <cellStyle name="40% - 强调文字颜色 3 2 2 2 2" xfId="407"/>
    <cellStyle name="40% - 强调文字颜色 3 2 2 3" xfId="408"/>
    <cellStyle name="40% - 强调文字颜色 3 2 3" xfId="409"/>
    <cellStyle name="40% - 强调文字颜色 3 2 3 2" xfId="410"/>
    <cellStyle name="40% - 强调文字颜色 3 2 4" xfId="411"/>
    <cellStyle name="40% - 强调文字颜色 3 3" xfId="412"/>
    <cellStyle name="40% - 强调文字颜色 3 3 2" xfId="413"/>
    <cellStyle name="40% - 强调文字颜色 3 3 2 2" xfId="414"/>
    <cellStyle name="40% - 强调文字颜色 3 3 2 2 2" xfId="415"/>
    <cellStyle name="40% - 强调文字颜色 3 3 2 3" xfId="416"/>
    <cellStyle name="40% - 强调文字颜色 3 3 3" xfId="417"/>
    <cellStyle name="40% - 强调文字颜色 3 3 3 2" xfId="418"/>
    <cellStyle name="40% - 强调文字颜色 3 3 4" xfId="419"/>
    <cellStyle name="40% - 强调文字颜色 3 4" xfId="420"/>
    <cellStyle name="40% - 强调文字颜色 3 4 2" xfId="421"/>
    <cellStyle name="40% - 强调文字颜色 3 4 2 2" xfId="422"/>
    <cellStyle name="40% - 强调文字颜色 3 4 2 2 2" xfId="423"/>
    <cellStyle name="40% - 强调文字颜色 3 4 2 3" xfId="424"/>
    <cellStyle name="40% - 强调文字颜色 3 4 3" xfId="425"/>
    <cellStyle name="40% - 强调文字颜色 3 4 3 2" xfId="426"/>
    <cellStyle name="40% - 强调文字颜色 3 4 4" xfId="427"/>
    <cellStyle name="40% - 强调文字颜色 3 5" xfId="428"/>
    <cellStyle name="40% - 强调文字颜色 3 5 2" xfId="429"/>
    <cellStyle name="40% - 强调文字颜色 3 5 2 2" xfId="430"/>
    <cellStyle name="40% - 强调文字颜色 3 5 3" xfId="431"/>
    <cellStyle name="40% - 强调文字颜色 3 6" xfId="432"/>
    <cellStyle name="40% - 强调文字颜色 3 6 2" xfId="433"/>
    <cellStyle name="40% - 强调文字颜色 3 6 2 2" xfId="434"/>
    <cellStyle name="40% - 强调文字颜色 3 6 3" xfId="435"/>
    <cellStyle name="40% - 强调文字颜色 3 7" xfId="436"/>
    <cellStyle name="40% - 强调文字颜色 3 7 2" xfId="437"/>
    <cellStyle name="40% - 强调文字颜色 3 7 2 2" xfId="438"/>
    <cellStyle name="40% - 强调文字颜色 3 7 3" xfId="439"/>
    <cellStyle name="40% - 强调文字颜色 4 2" xfId="440"/>
    <cellStyle name="40% - 强调文字颜色 4 2 2" xfId="441"/>
    <cellStyle name="40% - 强调文字颜色 4 2 2 2" xfId="442"/>
    <cellStyle name="40% - 强调文字颜色 4 2 2 2 2" xfId="443"/>
    <cellStyle name="40% - 强调文字颜色 4 2 2 3" xfId="444"/>
    <cellStyle name="40% - 强调文字颜色 4 2 3" xfId="445"/>
    <cellStyle name="40% - 强调文字颜色 4 2 3 2" xfId="446"/>
    <cellStyle name="40% - 强调文字颜色 4 2 4" xfId="447"/>
    <cellStyle name="40% - 强调文字颜色 4 3" xfId="448"/>
    <cellStyle name="40% - 强调文字颜色 4 3 2" xfId="449"/>
    <cellStyle name="40% - 强调文字颜色 4 3 2 2" xfId="450"/>
    <cellStyle name="40% - 强调文字颜色 4 3 2 2 2" xfId="451"/>
    <cellStyle name="40% - 强调文字颜色 4 3 2 3" xfId="452"/>
    <cellStyle name="40% - 强调文字颜色 4 3 3" xfId="453"/>
    <cellStyle name="40% - 强调文字颜色 4 3 3 2" xfId="454"/>
    <cellStyle name="40% - 强调文字颜色 4 3 4" xfId="455"/>
    <cellStyle name="40% - 强调文字颜色 4 4" xfId="456"/>
    <cellStyle name="40% - 强调文字颜色 4 4 2" xfId="457"/>
    <cellStyle name="40% - 强调文字颜色 4 4 2 2" xfId="458"/>
    <cellStyle name="40% - 强调文字颜色 4 4 2 2 2" xfId="459"/>
    <cellStyle name="40% - 强调文字颜色 4 4 2 3" xfId="460"/>
    <cellStyle name="40% - 强调文字颜色 4 4 3" xfId="461"/>
    <cellStyle name="40% - 强调文字颜色 4 4 3 2" xfId="462"/>
    <cellStyle name="40% - 强调文字颜色 4 4 4" xfId="463"/>
    <cellStyle name="40% - 强调文字颜色 4 5" xfId="464"/>
    <cellStyle name="40% - 强调文字颜色 4 5 2" xfId="465"/>
    <cellStyle name="40% - 强调文字颜色 4 5 2 2" xfId="466"/>
    <cellStyle name="40% - 强调文字颜色 4 5 3" xfId="467"/>
    <cellStyle name="40% - 强调文字颜色 4 6" xfId="468"/>
    <cellStyle name="40% - 强调文字颜色 4 6 2" xfId="469"/>
    <cellStyle name="40% - 强调文字颜色 4 6 2 2" xfId="470"/>
    <cellStyle name="40% - 强调文字颜色 4 6 3" xfId="471"/>
    <cellStyle name="40% - 强调文字颜色 4 7" xfId="472"/>
    <cellStyle name="40% - 强调文字颜色 4 7 2" xfId="473"/>
    <cellStyle name="40% - 强调文字颜色 4 7 2 2" xfId="474"/>
    <cellStyle name="40% - 强调文字颜色 4 7 3" xfId="475"/>
    <cellStyle name="40% - 强调文字颜色 5 2" xfId="476"/>
    <cellStyle name="40% - 强调文字颜色 5 2 2" xfId="477"/>
    <cellStyle name="40% - 强调文字颜色 5 2 2 2" xfId="478"/>
    <cellStyle name="40% - 强调文字颜色 5 2 2 2 2" xfId="479"/>
    <cellStyle name="40% - 强调文字颜色 5 2 2 3" xfId="480"/>
    <cellStyle name="40% - 强调文字颜色 5 2 3" xfId="481"/>
    <cellStyle name="40% - 强调文字颜色 5 2 3 2" xfId="482"/>
    <cellStyle name="40% - 强调文字颜色 5 2 4" xfId="483"/>
    <cellStyle name="40% - 强调文字颜色 5 3" xfId="484"/>
    <cellStyle name="40% - 强调文字颜色 5 3 2" xfId="485"/>
    <cellStyle name="40% - 强调文字颜色 5 3 2 2" xfId="486"/>
    <cellStyle name="40% - 强调文字颜色 5 3 2 2 2" xfId="487"/>
    <cellStyle name="40% - 强调文字颜色 5 3 2 3" xfId="488"/>
    <cellStyle name="40% - 强调文字颜色 5 3 3" xfId="489"/>
    <cellStyle name="40% - 强调文字颜色 5 3 3 2" xfId="490"/>
    <cellStyle name="40% - 强调文字颜色 5 3 4" xfId="491"/>
    <cellStyle name="40% - 强调文字颜色 5 4" xfId="492"/>
    <cellStyle name="40% - 强调文字颜色 5 4 2" xfId="493"/>
    <cellStyle name="40% - 强调文字颜色 5 4 2 2" xfId="494"/>
    <cellStyle name="40% - 强调文字颜色 5 4 2 2 2" xfId="495"/>
    <cellStyle name="40% - 强调文字颜色 5 4 2 3" xfId="496"/>
    <cellStyle name="40% - 强调文字颜色 5 4 3" xfId="497"/>
    <cellStyle name="40% - 强调文字颜色 5 4 3 2" xfId="498"/>
    <cellStyle name="40% - 强调文字颜色 5 4 4" xfId="499"/>
    <cellStyle name="40% - 强调文字颜色 5 5" xfId="500"/>
    <cellStyle name="40% - 强调文字颜色 5 5 2" xfId="501"/>
    <cellStyle name="40% - 强调文字颜色 5 5 2 2" xfId="502"/>
    <cellStyle name="40% - 强调文字颜色 5 5 3" xfId="503"/>
    <cellStyle name="40% - 强调文字颜色 5 6" xfId="504"/>
    <cellStyle name="40% - 强调文字颜色 5 6 2" xfId="505"/>
    <cellStyle name="40% - 强调文字颜色 5 6 2 2" xfId="506"/>
    <cellStyle name="40% - 强调文字颜色 5 6 3" xfId="507"/>
    <cellStyle name="40% - 强调文字颜色 5 7" xfId="508"/>
    <cellStyle name="40% - 强调文字颜色 5 7 2" xfId="509"/>
    <cellStyle name="40% - 强调文字颜色 5 7 2 2" xfId="510"/>
    <cellStyle name="40% - 强调文字颜色 5 7 3" xfId="511"/>
    <cellStyle name="40% - 强调文字颜色 6 2" xfId="512"/>
    <cellStyle name="40% - 强调文字颜色 6 2 2" xfId="513"/>
    <cellStyle name="40% - 强调文字颜色 6 2 2 2" xfId="514"/>
    <cellStyle name="40% - 强调文字颜色 6 2 2 2 2" xfId="515"/>
    <cellStyle name="40% - 强调文字颜色 6 2 2 3" xfId="516"/>
    <cellStyle name="40% - 强调文字颜色 6 2 3" xfId="517"/>
    <cellStyle name="40% - 强调文字颜色 6 2 3 2" xfId="518"/>
    <cellStyle name="40% - 强调文字颜色 6 2 4" xfId="519"/>
    <cellStyle name="40% - 强调文字颜色 6 3" xfId="520"/>
    <cellStyle name="40% - 强调文字颜色 6 3 2" xfId="521"/>
    <cellStyle name="40% - 强调文字颜色 6 3 2 2" xfId="522"/>
    <cellStyle name="40% - 强调文字颜色 6 3 2 2 2" xfId="523"/>
    <cellStyle name="40% - 强调文字颜色 6 3 2 3" xfId="524"/>
    <cellStyle name="40% - 强调文字颜色 6 3 3" xfId="525"/>
    <cellStyle name="40% - 强调文字颜色 6 3 3 2" xfId="526"/>
    <cellStyle name="40% - 强调文字颜色 6 3 4" xfId="527"/>
    <cellStyle name="40% - 强调文字颜色 6 4" xfId="528"/>
    <cellStyle name="40% - 强调文字颜色 6 4 2" xfId="529"/>
    <cellStyle name="40% - 强调文字颜色 6 4 2 2" xfId="530"/>
    <cellStyle name="40% - 强调文字颜色 6 4 2 2 2" xfId="531"/>
    <cellStyle name="40% - 强调文字颜色 6 4 2 3" xfId="532"/>
    <cellStyle name="40% - 强调文字颜色 6 4 3" xfId="533"/>
    <cellStyle name="40% - 强调文字颜色 6 4 3 2" xfId="534"/>
    <cellStyle name="40% - 强调文字颜色 6 4 4" xfId="535"/>
    <cellStyle name="40% - 强调文字颜色 6 5" xfId="536"/>
    <cellStyle name="40% - 强调文字颜色 6 5 2" xfId="537"/>
    <cellStyle name="40% - 强调文字颜色 6 5 2 2" xfId="538"/>
    <cellStyle name="40% - 强调文字颜色 6 5 3" xfId="539"/>
    <cellStyle name="40% - 强调文字颜色 6 6" xfId="540"/>
    <cellStyle name="40% - 强调文字颜色 6 6 2" xfId="541"/>
    <cellStyle name="40% - 强调文字颜色 6 6 2 2" xfId="542"/>
    <cellStyle name="40% - 强调文字颜色 6 6 3" xfId="543"/>
    <cellStyle name="40% - 强调文字颜色 6 7" xfId="544"/>
    <cellStyle name="40% - 强调文字颜色 6 7 2" xfId="545"/>
    <cellStyle name="40% - 强调文字颜色 6 7 2 2" xfId="546"/>
    <cellStyle name="40% - 强调文字颜色 6 7 3" xfId="547"/>
    <cellStyle name="40% - 着色 1 2" xfId="548"/>
    <cellStyle name="40% - 着色 1 2 2" xfId="549"/>
    <cellStyle name="40% - 着色 1 2 2 2" xfId="550"/>
    <cellStyle name="40% - 着色 1 2 2 2 2" xfId="551"/>
    <cellStyle name="40% - 着色 1 2 2 3" xfId="552"/>
    <cellStyle name="40% - 着色 1 2 3" xfId="553"/>
    <cellStyle name="40% - 着色 1 2 3 2" xfId="554"/>
    <cellStyle name="40% - 着色 1 2 4" xfId="555"/>
    <cellStyle name="40% - 着色 1 3" xfId="556"/>
    <cellStyle name="40% - 着色 1 3 2" xfId="557"/>
    <cellStyle name="40% - 着色 1 3 2 2" xfId="558"/>
    <cellStyle name="40% - 着色 1 3 3" xfId="559"/>
    <cellStyle name="40% - 着色 1 4" xfId="560"/>
    <cellStyle name="40% - 着色 1 4 2" xfId="561"/>
    <cellStyle name="40% - 着色 1 4 2 2" xfId="562"/>
    <cellStyle name="40% - 着色 1 4 3" xfId="563"/>
    <cellStyle name="40% - 着色 1 5" xfId="564"/>
    <cellStyle name="40% - 着色 1 5 2" xfId="565"/>
    <cellStyle name="40% - 着色 1 6" xfId="566"/>
    <cellStyle name="40% - 着色 2 2" xfId="567"/>
    <cellStyle name="40% - 着色 2 2 2" xfId="568"/>
    <cellStyle name="40% - 着色 2 2 2 2" xfId="569"/>
    <cellStyle name="40% - 着色 2 2 2 2 2" xfId="570"/>
    <cellStyle name="40% - 着色 2 2 2 3" xfId="571"/>
    <cellStyle name="40% - 着色 2 2 3" xfId="572"/>
    <cellStyle name="40% - 着色 2 2 3 2" xfId="573"/>
    <cellStyle name="40% - 着色 2 2 4" xfId="574"/>
    <cellStyle name="40% - 着色 2 3" xfId="575"/>
    <cellStyle name="40% - 着色 2 3 2" xfId="576"/>
    <cellStyle name="40% - 着色 2 3 2 2" xfId="577"/>
    <cellStyle name="40% - 着色 2 3 3" xfId="578"/>
    <cellStyle name="40% - 着色 2 4" xfId="579"/>
    <cellStyle name="40% - 着色 2 4 2" xfId="580"/>
    <cellStyle name="40% - 着色 2 4 2 2" xfId="581"/>
    <cellStyle name="40% - 着色 2 4 3" xfId="582"/>
    <cellStyle name="40% - 着色 2 5" xfId="583"/>
    <cellStyle name="40% - 着色 2 5 2" xfId="584"/>
    <cellStyle name="40% - 着色 2 6" xfId="585"/>
    <cellStyle name="40% - 着色 3 2" xfId="586"/>
    <cellStyle name="40% - 着色 3 2 2" xfId="587"/>
    <cellStyle name="40% - 着色 3 2 2 2" xfId="588"/>
    <cellStyle name="40% - 着色 3 2 2 2 2" xfId="589"/>
    <cellStyle name="40% - 着色 3 2 2 3" xfId="590"/>
    <cellStyle name="40% - 着色 3 2 3" xfId="591"/>
    <cellStyle name="40% - 着色 3 2 3 2" xfId="592"/>
    <cellStyle name="40% - 着色 3 2 4" xfId="593"/>
    <cellStyle name="40% - 着色 3 3" xfId="594"/>
    <cellStyle name="40% - 着色 3 3 2" xfId="595"/>
    <cellStyle name="40% - 着色 3 3 2 2" xfId="596"/>
    <cellStyle name="40% - 着色 3 3 3" xfId="597"/>
    <cellStyle name="40% - 着色 3 4" xfId="598"/>
    <cellStyle name="40% - 着色 3 4 2" xfId="599"/>
    <cellStyle name="40% - 着色 3 4 2 2" xfId="600"/>
    <cellStyle name="40% - 着色 3 4 3" xfId="601"/>
    <cellStyle name="40% - 着色 3 5" xfId="602"/>
    <cellStyle name="40% - 着色 3 5 2" xfId="603"/>
    <cellStyle name="40% - 着色 3 6" xfId="604"/>
    <cellStyle name="40% - 着色 4 2" xfId="605"/>
    <cellStyle name="40% - 着色 4 2 2" xfId="606"/>
    <cellStyle name="40% - 着色 4 2 2 2" xfId="607"/>
    <cellStyle name="40% - 着色 4 2 2 2 2" xfId="608"/>
    <cellStyle name="40% - 着色 4 2 2 3" xfId="609"/>
    <cellStyle name="40% - 着色 4 2 3" xfId="610"/>
    <cellStyle name="40% - 着色 4 2 3 2" xfId="611"/>
    <cellStyle name="40% - 着色 4 2 4" xfId="612"/>
    <cellStyle name="40% - 着色 4 3" xfId="613"/>
    <cellStyle name="40% - 着色 4 3 2" xfId="614"/>
    <cellStyle name="40% - 着色 4 3 2 2" xfId="615"/>
    <cellStyle name="40% - 着色 4 3 3" xfId="616"/>
    <cellStyle name="40% - 着色 4 4" xfId="617"/>
    <cellStyle name="40% - 着色 4 4 2" xfId="618"/>
    <cellStyle name="40% - 着色 4 4 2 2" xfId="619"/>
    <cellStyle name="40% - 着色 4 4 3" xfId="620"/>
    <cellStyle name="40% - 着色 4 5" xfId="621"/>
    <cellStyle name="40% - 着色 4 5 2" xfId="622"/>
    <cellStyle name="40% - 着色 4 6" xfId="623"/>
    <cellStyle name="40% - 着色 5 2" xfId="624"/>
    <cellStyle name="40% - 着色 5 2 2" xfId="625"/>
    <cellStyle name="40% - 着色 5 2 2 2" xfId="626"/>
    <cellStyle name="40% - 着色 5 2 2 2 2" xfId="627"/>
    <cellStyle name="40% - 着色 5 2 2 3" xfId="628"/>
    <cellStyle name="40% - 着色 5 2 3" xfId="629"/>
    <cellStyle name="40% - 着色 5 2 3 2" xfId="630"/>
    <cellStyle name="40% - 着色 5 2 4" xfId="631"/>
    <cellStyle name="40% - 着色 5 3" xfId="632"/>
    <cellStyle name="40% - 着色 5 3 2" xfId="633"/>
    <cellStyle name="40% - 着色 5 3 2 2" xfId="634"/>
    <cellStyle name="40% - 着色 5 3 3" xfId="635"/>
    <cellStyle name="40% - 着色 5 4" xfId="636"/>
    <cellStyle name="40% - 着色 5 4 2" xfId="637"/>
    <cellStyle name="40% - 着色 5 4 2 2" xfId="638"/>
    <cellStyle name="40% - 着色 5 4 3" xfId="639"/>
    <cellStyle name="40% - 着色 5 5" xfId="640"/>
    <cellStyle name="40% - 着色 5 5 2" xfId="641"/>
    <cellStyle name="40% - 着色 5 6" xfId="642"/>
    <cellStyle name="40% - 着色 6 2" xfId="643"/>
    <cellStyle name="40% - 着色 6 2 2" xfId="644"/>
    <cellStyle name="40% - 着色 6 2 2 2" xfId="645"/>
    <cellStyle name="40% - 着色 6 2 2 2 2" xfId="646"/>
    <cellStyle name="40% - 着色 6 2 2 3" xfId="647"/>
    <cellStyle name="40% - 着色 6 2 3" xfId="648"/>
    <cellStyle name="40% - 着色 6 2 3 2" xfId="649"/>
    <cellStyle name="40% - 着色 6 2 4" xfId="650"/>
    <cellStyle name="40% - 着色 6 3" xfId="651"/>
    <cellStyle name="40% - 着色 6 3 2" xfId="652"/>
    <cellStyle name="40% - 着色 6 3 2 2" xfId="653"/>
    <cellStyle name="40% - 着色 6 3 3" xfId="654"/>
    <cellStyle name="40% - 着色 6 4" xfId="655"/>
    <cellStyle name="40% - 着色 6 4 2" xfId="656"/>
    <cellStyle name="40% - 着色 6 4 2 2" xfId="657"/>
    <cellStyle name="40% - 着色 6 4 3" xfId="658"/>
    <cellStyle name="40% - 着色 6 5" xfId="659"/>
    <cellStyle name="40% - 着色 6 5 2" xfId="660"/>
    <cellStyle name="40% - 着色 6 6" xfId="661"/>
    <cellStyle name="60% - 强调文字颜色 1 2" xfId="662"/>
    <cellStyle name="60% - 强调文字颜色 1 2 2" xfId="663"/>
    <cellStyle name="60% - 强调文字颜色 1 2 2 2" xfId="664"/>
    <cellStyle name="60% - 强调文字颜色 1 2 3" xfId="665"/>
    <cellStyle name="60% - 强调文字颜色 1 3" xfId="666"/>
    <cellStyle name="60% - 强调文字颜色 1 3 2" xfId="667"/>
    <cellStyle name="60% - 强调文字颜色 1 3 2 2" xfId="668"/>
    <cellStyle name="60% - 强调文字颜色 1 3 3" xfId="669"/>
    <cellStyle name="60% - 强调文字颜色 1 4" xfId="670"/>
    <cellStyle name="60% - 强调文字颜色 1 4 2" xfId="671"/>
    <cellStyle name="60% - 强调文字颜色 1 4 2 2" xfId="672"/>
    <cellStyle name="60% - 强调文字颜色 1 4 3" xfId="673"/>
    <cellStyle name="60% - 强调文字颜色 1 5" xfId="674"/>
    <cellStyle name="60% - 强调文字颜色 1 5 2" xfId="675"/>
    <cellStyle name="60% - 强调文字颜色 1 6" xfId="676"/>
    <cellStyle name="60% - 强调文字颜色 1 6 2" xfId="677"/>
    <cellStyle name="60% - 强调文字颜色 1 7" xfId="678"/>
    <cellStyle name="60% - 强调文字颜色 1 7 2" xfId="679"/>
    <cellStyle name="60% - 强调文字颜色 2 2" xfId="680"/>
    <cellStyle name="60% - 强调文字颜色 2 2 2" xfId="681"/>
    <cellStyle name="60% - 强调文字颜色 2 2 2 2" xfId="682"/>
    <cellStyle name="60% - 强调文字颜色 2 2 3" xfId="683"/>
    <cellStyle name="60% - 强调文字颜色 2 3" xfId="684"/>
    <cellStyle name="60% - 强调文字颜色 2 3 2" xfId="685"/>
    <cellStyle name="60% - 强调文字颜色 2 3 2 2" xfId="686"/>
    <cellStyle name="60% - 强调文字颜色 2 3 3" xfId="687"/>
    <cellStyle name="60% - 强调文字颜色 2 4" xfId="688"/>
    <cellStyle name="60% - 强调文字颜色 2 4 2" xfId="689"/>
    <cellStyle name="60% - 强调文字颜色 2 4 2 2" xfId="690"/>
    <cellStyle name="60% - 强调文字颜色 2 4 3" xfId="691"/>
    <cellStyle name="60% - 强调文字颜色 2 5" xfId="692"/>
    <cellStyle name="60% - 强调文字颜色 2 5 2" xfId="693"/>
    <cellStyle name="60% - 强调文字颜色 2 6" xfId="694"/>
    <cellStyle name="60% - 强调文字颜色 2 6 2" xfId="695"/>
    <cellStyle name="60% - 强调文字颜色 2 7" xfId="696"/>
    <cellStyle name="60% - 强调文字颜色 2 7 2" xfId="697"/>
    <cellStyle name="60% - 强调文字颜色 3 2" xfId="698"/>
    <cellStyle name="60% - 强调文字颜色 3 2 2" xfId="699"/>
    <cellStyle name="60% - 强调文字颜色 3 2 2 2" xfId="700"/>
    <cellStyle name="60% - 强调文字颜色 3 2 3" xfId="701"/>
    <cellStyle name="60% - 强调文字颜色 3 3" xfId="702"/>
    <cellStyle name="60% - 强调文字颜色 3 3 2" xfId="703"/>
    <cellStyle name="60% - 强调文字颜色 3 3 2 2" xfId="704"/>
    <cellStyle name="60% - 强调文字颜色 3 3 3" xfId="705"/>
    <cellStyle name="60% - 强调文字颜色 3 4" xfId="706"/>
    <cellStyle name="60% - 强调文字颜色 3 4 2" xfId="707"/>
    <cellStyle name="60% - 强调文字颜色 3 4 2 2" xfId="708"/>
    <cellStyle name="60% - 强调文字颜色 3 4 3" xfId="709"/>
    <cellStyle name="60% - 强调文字颜色 3 5" xfId="710"/>
    <cellStyle name="60% - 强调文字颜色 3 5 2" xfId="711"/>
    <cellStyle name="60% - 强调文字颜色 3 6" xfId="712"/>
    <cellStyle name="60% - 强调文字颜色 3 6 2" xfId="713"/>
    <cellStyle name="60% - 强调文字颜色 3 7" xfId="714"/>
    <cellStyle name="60% - 强调文字颜色 3 7 2" xfId="715"/>
    <cellStyle name="60% - 强调文字颜色 4 2" xfId="716"/>
    <cellStyle name="60% - 强调文字颜色 4 2 2" xfId="717"/>
    <cellStyle name="60% - 强调文字颜色 4 2 2 2" xfId="718"/>
    <cellStyle name="60% - 强调文字颜色 4 2 3" xfId="719"/>
    <cellStyle name="60% - 强调文字颜色 4 3" xfId="720"/>
    <cellStyle name="60% - 强调文字颜色 4 3 2" xfId="721"/>
    <cellStyle name="60% - 强调文字颜色 4 3 2 2" xfId="722"/>
    <cellStyle name="60% - 强调文字颜色 4 3 3" xfId="723"/>
    <cellStyle name="60% - 强调文字颜色 4 4" xfId="724"/>
    <cellStyle name="60% - 强调文字颜色 4 4 2" xfId="725"/>
    <cellStyle name="60% - 强调文字颜色 4 4 2 2" xfId="726"/>
    <cellStyle name="60% - 强调文字颜色 4 4 3" xfId="727"/>
    <cellStyle name="60% - 强调文字颜色 4 5" xfId="728"/>
    <cellStyle name="60% - 强调文字颜色 4 5 2" xfId="729"/>
    <cellStyle name="60% - 强调文字颜色 4 6" xfId="730"/>
    <cellStyle name="60% - 强调文字颜色 4 6 2" xfId="731"/>
    <cellStyle name="60% - 强调文字颜色 4 7" xfId="732"/>
    <cellStyle name="60% - 强调文字颜色 4 7 2" xfId="733"/>
    <cellStyle name="60% - 强调文字颜色 5 2" xfId="734"/>
    <cellStyle name="60% - 强调文字颜色 5 2 2" xfId="735"/>
    <cellStyle name="60% - 强调文字颜色 5 2 2 2" xfId="736"/>
    <cellStyle name="60% - 强调文字颜色 5 2 3" xfId="737"/>
    <cellStyle name="60% - 强调文字颜色 5 3" xfId="738"/>
    <cellStyle name="60% - 强调文字颜色 5 3 2" xfId="739"/>
    <cellStyle name="60% - 强调文字颜色 5 3 2 2" xfId="740"/>
    <cellStyle name="60% - 强调文字颜色 5 3 3" xfId="741"/>
    <cellStyle name="60% - 强调文字颜色 5 4" xfId="742"/>
    <cellStyle name="60% - 强调文字颜色 5 4 2" xfId="743"/>
    <cellStyle name="60% - 强调文字颜色 5 4 2 2" xfId="744"/>
    <cellStyle name="60% - 强调文字颜色 5 4 3" xfId="745"/>
    <cellStyle name="60% - 强调文字颜色 5 5" xfId="746"/>
    <cellStyle name="60% - 强调文字颜色 5 5 2" xfId="747"/>
    <cellStyle name="60% - 强调文字颜色 5 6" xfId="748"/>
    <cellStyle name="60% - 强调文字颜色 5 6 2" xfId="749"/>
    <cellStyle name="60% - 强调文字颜色 5 7" xfId="750"/>
    <cellStyle name="60% - 强调文字颜色 5 7 2" xfId="751"/>
    <cellStyle name="60% - 强调文字颜色 6 2" xfId="752"/>
    <cellStyle name="60% - 强调文字颜色 6 2 2" xfId="753"/>
    <cellStyle name="60% - 强调文字颜色 6 2 2 2" xfId="754"/>
    <cellStyle name="60% - 强调文字颜色 6 2 3" xfId="755"/>
    <cellStyle name="60% - 强调文字颜色 6 3" xfId="756"/>
    <cellStyle name="60% - 强调文字颜色 6 3 2" xfId="757"/>
    <cellStyle name="60% - 强调文字颜色 6 3 2 2" xfId="758"/>
    <cellStyle name="60% - 强调文字颜色 6 3 3" xfId="759"/>
    <cellStyle name="60% - 强调文字颜色 6 4" xfId="760"/>
    <cellStyle name="60% - 强调文字颜色 6 4 2" xfId="761"/>
    <cellStyle name="60% - 强调文字颜色 6 4 2 2" xfId="762"/>
    <cellStyle name="60% - 强调文字颜色 6 4 3" xfId="763"/>
    <cellStyle name="60% - 强调文字颜色 6 5" xfId="764"/>
    <cellStyle name="60% - 强调文字颜色 6 5 2" xfId="765"/>
    <cellStyle name="60% - 强调文字颜色 6 6" xfId="766"/>
    <cellStyle name="60% - 强调文字颜色 6 6 2" xfId="767"/>
    <cellStyle name="60% - 强调文字颜色 6 7" xfId="768"/>
    <cellStyle name="60% - 强调文字颜色 6 7 2" xfId="769"/>
    <cellStyle name="60% - 着色 1 2" xfId="770"/>
    <cellStyle name="60% - 着色 1 2 2" xfId="771"/>
    <cellStyle name="60% - 着色 1 2 2 2" xfId="772"/>
    <cellStyle name="60% - 着色 1 2 3" xfId="773"/>
    <cellStyle name="60% - 着色 1 3" xfId="774"/>
    <cellStyle name="60% - 着色 1 3 2" xfId="775"/>
    <cellStyle name="60% - 着色 1 4" xfId="776"/>
    <cellStyle name="60% - 着色 1 4 2" xfId="777"/>
    <cellStyle name="60% - 着色 1 5" xfId="778"/>
    <cellStyle name="60% - 着色 2 2" xfId="779"/>
    <cellStyle name="60% - 着色 2 2 2" xfId="780"/>
    <cellStyle name="60% - 着色 2 2 2 2" xfId="781"/>
    <cellStyle name="60% - 着色 2 2 3" xfId="782"/>
    <cellStyle name="60% - 着色 2 3" xfId="783"/>
    <cellStyle name="60% - 着色 2 3 2" xfId="784"/>
    <cellStyle name="60% - 着色 2 4" xfId="785"/>
    <cellStyle name="60% - 着色 2 4 2" xfId="786"/>
    <cellStyle name="60% - 着色 2 5" xfId="787"/>
    <cellStyle name="60% - 着色 3 2" xfId="788"/>
    <cellStyle name="60% - 着色 3 2 2" xfId="789"/>
    <cellStyle name="60% - 着色 3 2 2 2" xfId="790"/>
    <cellStyle name="60% - 着色 3 2 3" xfId="791"/>
    <cellStyle name="60% - 着色 3 3" xfId="792"/>
    <cellStyle name="60% - 着色 3 3 2" xfId="793"/>
    <cellStyle name="60% - 着色 3 4" xfId="794"/>
    <cellStyle name="60% - 着色 3 4 2" xfId="795"/>
    <cellStyle name="60% - 着色 3 5" xfId="796"/>
    <cellStyle name="60% - 着色 4 2" xfId="797"/>
    <cellStyle name="60% - 着色 4 2 2" xfId="798"/>
    <cellStyle name="60% - 着色 4 2 2 2" xfId="799"/>
    <cellStyle name="60% - 着色 4 2 3" xfId="800"/>
    <cellStyle name="60% - 着色 4 3" xfId="801"/>
    <cellStyle name="60% - 着色 4 3 2" xfId="802"/>
    <cellStyle name="60% - 着色 4 4" xfId="803"/>
    <cellStyle name="60% - 着色 4 4 2" xfId="804"/>
    <cellStyle name="60% - 着色 4 5" xfId="805"/>
    <cellStyle name="60% - 着色 5 2" xfId="806"/>
    <cellStyle name="60% - 着色 5 2 2" xfId="807"/>
    <cellStyle name="60% - 着色 5 2 2 2" xfId="808"/>
    <cellStyle name="60% - 着色 5 2 3" xfId="809"/>
    <cellStyle name="60% - 着色 5 3" xfId="810"/>
    <cellStyle name="60% - 着色 5 3 2" xfId="811"/>
    <cellStyle name="60% - 着色 5 4" xfId="812"/>
    <cellStyle name="60% - 着色 5 4 2" xfId="813"/>
    <cellStyle name="60% - 着色 5 5" xfId="814"/>
    <cellStyle name="60% - 着色 6 2" xfId="815"/>
    <cellStyle name="60% - 着色 6 2 2" xfId="816"/>
    <cellStyle name="60% - 着色 6 2 2 2" xfId="817"/>
    <cellStyle name="60% - 着色 6 2 3" xfId="818"/>
    <cellStyle name="60% - 着色 6 3" xfId="819"/>
    <cellStyle name="60% - 着色 6 3 2" xfId="820"/>
    <cellStyle name="60% - 着色 6 4" xfId="821"/>
    <cellStyle name="60% - 着色 6 4 2" xfId="822"/>
    <cellStyle name="60% - 着色 6 5" xfId="823"/>
    <cellStyle name="Normal" xfId="2008"/>
    <cellStyle name="RowLevel_1" xfId="824"/>
    <cellStyle name="百分比 2" xfId="825"/>
    <cellStyle name="百分比 2 2" xfId="826"/>
    <cellStyle name="百分比 2 2 2" xfId="827"/>
    <cellStyle name="百分比 2 2 2 2" xfId="828"/>
    <cellStyle name="百分比 2 2 3" xfId="829"/>
    <cellStyle name="百分比 2 3" xfId="830"/>
    <cellStyle name="百分比 2 3 2" xfId="831"/>
    <cellStyle name="百分比 2 4" xfId="832"/>
    <cellStyle name="百分比 2 4 2" xfId="833"/>
    <cellStyle name="百分比 2 5" xfId="834"/>
    <cellStyle name="百分比 2 5 2" xfId="835"/>
    <cellStyle name="百分比 2 5 2 2" xfId="836"/>
    <cellStyle name="百分比 2 5 3" xfId="837"/>
    <cellStyle name="百分比 2 6" xfId="838"/>
    <cellStyle name="百分比 2 6 2" xfId="839"/>
    <cellStyle name="百分比 2 7" xfId="840"/>
    <cellStyle name="百分比 3" xfId="841"/>
    <cellStyle name="百分比 3 2" xfId="842"/>
    <cellStyle name="百分比 3 2 2" xfId="843"/>
    <cellStyle name="百分比 3 2 2 2" xfId="844"/>
    <cellStyle name="百分比 3 2 3" xfId="845"/>
    <cellStyle name="百分比 3 3" xfId="846"/>
    <cellStyle name="百分比 3 3 2" xfId="847"/>
    <cellStyle name="百分比 3 4" xfId="848"/>
    <cellStyle name="百分比 3 4 2" xfId="849"/>
    <cellStyle name="百分比 3 5" xfId="850"/>
    <cellStyle name="百分比 3 5 2" xfId="851"/>
    <cellStyle name="百分比 3 6" xfId="852"/>
    <cellStyle name="百分比 4" xfId="853"/>
    <cellStyle name="百分比 4 2" xfId="854"/>
    <cellStyle name="百分比 4 2 2" xfId="855"/>
    <cellStyle name="百分比 4 3" xfId="856"/>
    <cellStyle name="百分比 5" xfId="857"/>
    <cellStyle name="百分比 5 2" xfId="858"/>
    <cellStyle name="百分比 5 2 2" xfId="859"/>
    <cellStyle name="百分比 5 3" xfId="860"/>
    <cellStyle name="百分比 6" xfId="861"/>
    <cellStyle name="百分比 6 2" xfId="862"/>
    <cellStyle name="百分比 6 2 2" xfId="863"/>
    <cellStyle name="百分比 6 3" xfId="864"/>
    <cellStyle name="百分比 7" xfId="865"/>
    <cellStyle name="百分比 7 2" xfId="866"/>
    <cellStyle name="百分比 8" xfId="867"/>
    <cellStyle name="标题 1 2" xfId="868"/>
    <cellStyle name="标题 1 2 2" xfId="869"/>
    <cellStyle name="标题 1 2 2 2" xfId="870"/>
    <cellStyle name="标题 1 2 3" xfId="871"/>
    <cellStyle name="标题 1 3" xfId="872"/>
    <cellStyle name="标题 1 3 2" xfId="873"/>
    <cellStyle name="标题 1 3 2 2" xfId="874"/>
    <cellStyle name="标题 1 3 3" xfId="875"/>
    <cellStyle name="标题 1 4" xfId="876"/>
    <cellStyle name="标题 1 4 2" xfId="877"/>
    <cellStyle name="标题 1 4 2 2" xfId="878"/>
    <cellStyle name="标题 1 4 3" xfId="879"/>
    <cellStyle name="标题 1 5" xfId="880"/>
    <cellStyle name="标题 1 5 2" xfId="881"/>
    <cellStyle name="标题 1 6" xfId="882"/>
    <cellStyle name="标题 1 6 2" xfId="883"/>
    <cellStyle name="标题 2 2" xfId="884"/>
    <cellStyle name="标题 2 2 2" xfId="885"/>
    <cellStyle name="标题 2 2 2 2" xfId="886"/>
    <cellStyle name="标题 2 2 3" xfId="887"/>
    <cellStyle name="标题 2 3" xfId="888"/>
    <cellStyle name="标题 2 3 2" xfId="889"/>
    <cellStyle name="标题 2 3 2 2" xfId="890"/>
    <cellStyle name="标题 2 3 3" xfId="891"/>
    <cellStyle name="标题 2 4" xfId="892"/>
    <cellStyle name="标题 2 4 2" xfId="893"/>
    <cellStyle name="标题 2 4 2 2" xfId="894"/>
    <cellStyle name="标题 2 4 3" xfId="895"/>
    <cellStyle name="标题 2 5" xfId="896"/>
    <cellStyle name="标题 2 5 2" xfId="897"/>
    <cellStyle name="标题 2 6" xfId="898"/>
    <cellStyle name="标题 2 6 2" xfId="899"/>
    <cellStyle name="标题 3 2" xfId="900"/>
    <cellStyle name="标题 3 2 2" xfId="901"/>
    <cellStyle name="标题 3 2 2 2" xfId="902"/>
    <cellStyle name="标题 3 2 3" xfId="903"/>
    <cellStyle name="标题 3 3" xfId="904"/>
    <cellStyle name="标题 3 3 2" xfId="905"/>
    <cellStyle name="标题 3 3 2 2" xfId="906"/>
    <cellStyle name="标题 3 3 3" xfId="907"/>
    <cellStyle name="标题 3 4" xfId="908"/>
    <cellStyle name="标题 3 4 2" xfId="909"/>
    <cellStyle name="标题 3 4 2 2" xfId="910"/>
    <cellStyle name="标题 3 4 3" xfId="911"/>
    <cellStyle name="标题 3 5" xfId="912"/>
    <cellStyle name="标题 3 5 2" xfId="913"/>
    <cellStyle name="标题 3 6" xfId="914"/>
    <cellStyle name="标题 3 6 2" xfId="915"/>
    <cellStyle name="标题 4 2" xfId="916"/>
    <cellStyle name="标题 4 2 2" xfId="917"/>
    <cellStyle name="标题 4 2 2 2" xfId="918"/>
    <cellStyle name="标题 4 2 3" xfId="919"/>
    <cellStyle name="标题 4 3" xfId="920"/>
    <cellStyle name="标题 4 3 2" xfId="921"/>
    <cellStyle name="标题 4 3 2 2" xfId="922"/>
    <cellStyle name="标题 4 3 3" xfId="923"/>
    <cellStyle name="标题 4 4" xfId="924"/>
    <cellStyle name="标题 4 4 2" xfId="925"/>
    <cellStyle name="标题 4 4 2 2" xfId="926"/>
    <cellStyle name="标题 4 4 3" xfId="927"/>
    <cellStyle name="标题 4 5" xfId="928"/>
    <cellStyle name="标题 4 5 2" xfId="929"/>
    <cellStyle name="标题 4 6" xfId="930"/>
    <cellStyle name="标题 4 6 2" xfId="931"/>
    <cellStyle name="标题 5" xfId="932"/>
    <cellStyle name="标题 5 2" xfId="933"/>
    <cellStyle name="标题 5 2 2" xfId="934"/>
    <cellStyle name="标题 5 3" xfId="935"/>
    <cellStyle name="标题 6" xfId="936"/>
    <cellStyle name="标题 6 2" xfId="937"/>
    <cellStyle name="标题 6 2 2" xfId="938"/>
    <cellStyle name="标题 6 3" xfId="939"/>
    <cellStyle name="标题 7" xfId="940"/>
    <cellStyle name="标题 7 2" xfId="941"/>
    <cellStyle name="标题 7 2 2" xfId="942"/>
    <cellStyle name="标题 7 3" xfId="943"/>
    <cellStyle name="标题 8" xfId="944"/>
    <cellStyle name="标题 8 2" xfId="945"/>
    <cellStyle name="标题 9" xfId="946"/>
    <cellStyle name="标题 9 2" xfId="947"/>
    <cellStyle name="差 2" xfId="948"/>
    <cellStyle name="差 2 2" xfId="949"/>
    <cellStyle name="差 2 2 2" xfId="950"/>
    <cellStyle name="差 2 3" xfId="951"/>
    <cellStyle name="差 3" xfId="952"/>
    <cellStyle name="差 3 2" xfId="953"/>
    <cellStyle name="差 3 2 2" xfId="954"/>
    <cellStyle name="差 3 3" xfId="955"/>
    <cellStyle name="差 4" xfId="956"/>
    <cellStyle name="差 4 2" xfId="957"/>
    <cellStyle name="差 4 2 2" xfId="958"/>
    <cellStyle name="差 4 3" xfId="959"/>
    <cellStyle name="差 5" xfId="960"/>
    <cellStyle name="差 5 2" xfId="961"/>
    <cellStyle name="差 6" xfId="962"/>
    <cellStyle name="差 6 2" xfId="963"/>
    <cellStyle name="差 7" xfId="964"/>
    <cellStyle name="差 7 2" xfId="965"/>
    <cellStyle name="差_2013见习培训经费表下半年(chen)2014年9月" xfId="966"/>
    <cellStyle name="差_2013见习培训经费表下半年(chen)2014年9月 2" xfId="967"/>
    <cellStyle name="差_2013见习培训经费表下半年(chen)2014年9月 2 2" xfId="968"/>
    <cellStyle name="差_2013见习培训经费表下半年(chen)2014年9月 2 2 2" xfId="969"/>
    <cellStyle name="差_2013见习培训经费表下半年(chen)2014年9月 2 3" xfId="970"/>
    <cellStyle name="差_2013见习培训经费表下半年(chen)2014年9月 3" xfId="971"/>
    <cellStyle name="差_2013见习培训经费表下半年(chen)2014年9月 3 2" xfId="972"/>
    <cellStyle name="差_2013见习培训经费表下半年(chen)2014年9月 4" xfId="973"/>
    <cellStyle name="差_2013见习培训经费表下半年(chen)2014年9月 4 2" xfId="974"/>
    <cellStyle name="差_2013见习培训经费表下半年(chen)2014年9月 5" xfId="975"/>
    <cellStyle name="差_2014年聘用学校导师带教经费表" xfId="976"/>
    <cellStyle name="差_2014年聘用学校导师带教经费表 2" xfId="977"/>
    <cellStyle name="差_2014年聘用学校导师带教经费表 2 2" xfId="978"/>
    <cellStyle name="差_2014年聘用学校导师带教经费表 2 2 2" xfId="979"/>
    <cellStyle name="差_2014年聘用学校导师带教经费表 2 3" xfId="980"/>
    <cellStyle name="差_2014年聘用学校导师带教经费表 3" xfId="981"/>
    <cellStyle name="差_2014年聘用学校导师带教经费表 3 2" xfId="982"/>
    <cellStyle name="差_2014年聘用学校导师带教经费表 3 2 2" xfId="983"/>
    <cellStyle name="差_2014年聘用学校导师带教经费表 3 3" xfId="984"/>
    <cellStyle name="差_2014年聘用学校导师带教经费表 4" xfId="985"/>
    <cellStyle name="差_2014年聘用学校导师带教经费表 4 2" xfId="986"/>
    <cellStyle name="差_2014年聘用学校导师带教经费表 4 2 2" xfId="987"/>
    <cellStyle name="差_2014年聘用学校导师带教经费表 4 3" xfId="988"/>
    <cellStyle name="差_2014年聘用学校导师带教经费表 5" xfId="989"/>
    <cellStyle name="差_2014年聘用学校导师带教经费表 5 2" xfId="990"/>
    <cellStyle name="差_2014年聘用学校导师带教经费表 6" xfId="991"/>
    <cellStyle name="差_2014年聘用学校导师带教经费表 6 2" xfId="992"/>
    <cellStyle name="差_2014年聘用学校导师带教经费表 7" xfId="993"/>
    <cellStyle name="差_2014年终考核奖完整版-给核算中心" xfId="994"/>
    <cellStyle name="差_2014年终考核奖完整版-给核算中心 2" xfId="995"/>
    <cellStyle name="差_2014年终考核奖完整版-给核算中心 2 2" xfId="996"/>
    <cellStyle name="差_2014年终考核奖完整版-给核算中心 2 2 2" xfId="997"/>
    <cellStyle name="差_2014年终考核奖完整版-给核算中心 2 3" xfId="998"/>
    <cellStyle name="差_2014年终考核奖完整版-给核算中心 3" xfId="999"/>
    <cellStyle name="差_2014年终考核奖完整版-给核算中心 3 2" xfId="1000"/>
    <cellStyle name="差_2014年终考核奖完整版-给核算中心 4" xfId="1001"/>
    <cellStyle name="差_2014年终考核奖完整版-给核算中心 4 2" xfId="1002"/>
    <cellStyle name="差_2014年终考核奖完整版-给核算中心 5" xfId="1003"/>
    <cellStyle name="差_2014优秀学校奖励测算表" xfId="1004"/>
    <cellStyle name="差_2014优秀学校奖励测算表 2" xfId="1005"/>
    <cellStyle name="差_2014优秀学校奖励测算表 2 2" xfId="1006"/>
    <cellStyle name="差_2014优秀学校奖励测算表 2 2 2" xfId="1007"/>
    <cellStyle name="差_2014优秀学校奖励测算表 2 3" xfId="1008"/>
    <cellStyle name="差_2014优秀学校奖励测算表 3" xfId="1009"/>
    <cellStyle name="差_2014优秀学校奖励测算表 3 2" xfId="1010"/>
    <cellStyle name="差_2014优秀学校奖励测算表 4" xfId="1011"/>
    <cellStyle name="差_2014优秀学校奖励测算表 4 2" xfId="1012"/>
    <cellStyle name="差_2014优秀学校奖励测算表 5" xfId="1013"/>
    <cellStyle name="差_2015年年终奖预发表-给核算中心" xfId="1014"/>
    <cellStyle name="差_2015年年终奖预发表-给核算中心 2" xfId="1015"/>
    <cellStyle name="差_2015年年终奖预发表-给核算中心 2 2" xfId="1016"/>
    <cellStyle name="差_2015年年终奖预发表-给核算中心 2 2 2" xfId="1017"/>
    <cellStyle name="差_2015年年终奖预发表-给核算中心 2 3" xfId="1018"/>
    <cellStyle name="差_2015年年终奖预发表-给核算中心 3" xfId="1019"/>
    <cellStyle name="差_2015年年终奖预发表-给核算中心 3 2" xfId="1020"/>
    <cellStyle name="差_2015年年终奖预发表-给核算中心 4" xfId="1021"/>
    <cellStyle name="差_2015年年终奖预发表-给核算中心 4 2" xfId="1022"/>
    <cellStyle name="差_2015年年终奖预发表-给核算中心 5" xfId="1023"/>
    <cellStyle name="差_2016年3月校长职级工资（核算中心）" xfId="1024"/>
    <cellStyle name="差_2016年3月校长职级工资（核算中心） 2" xfId="1025"/>
    <cellStyle name="差_2016年3月校长职级工资（核算中心） 2 2" xfId="1026"/>
    <cellStyle name="差_2016年3月校长职级工资（核算中心） 2 2 2" xfId="1027"/>
    <cellStyle name="差_2016年3月校长职级工资（核算中心） 2 3" xfId="1028"/>
    <cellStyle name="差_2016年3月校长职级工资（核算中心） 3" xfId="1029"/>
    <cellStyle name="差_2016年3月校长职级工资（核算中心） 3 2" xfId="1030"/>
    <cellStyle name="差_2016年3月校长职级工资（核算中心） 4" xfId="1031"/>
    <cellStyle name="差_2016年3月校长职级工资（核算中心） 4 2" xfId="1032"/>
    <cellStyle name="差_2016年3月校长职级工资（核算中心） 5" xfId="1033"/>
    <cellStyle name="差_2016统计人数汇总表（完稿版）9.12" xfId="1034"/>
    <cellStyle name="差_2016统计人数汇总表（完稿版）9.12 2" xfId="1035"/>
    <cellStyle name="差_2016统计人数汇总表（完稿版）9.12 2 2" xfId="1036"/>
    <cellStyle name="差_2016统计人数汇总表（完稿版）9.12 2 2 2" xfId="1037"/>
    <cellStyle name="差_2016统计人数汇总表（完稿版）9.12 2 3" xfId="1038"/>
    <cellStyle name="差_2016统计人数汇总表（完稿版）9.12 3" xfId="1039"/>
    <cellStyle name="差_2016统计人数汇总表（完稿版）9.12 3 2" xfId="1040"/>
    <cellStyle name="差_2016统计人数汇总表（完稿版）9.12 4" xfId="1041"/>
    <cellStyle name="差_2016统计人数汇总表（完稿版）9.12 4 2" xfId="1042"/>
    <cellStyle name="差_2016统计人数汇总表（完稿版）9.12 5" xfId="1043"/>
    <cellStyle name="差_A0汇总表（报计财科：项目津贴发放）" xfId="1044"/>
    <cellStyle name="差_A0汇总表（报计财科：项目津贴发放） 2" xfId="1045"/>
    <cellStyle name="差_A0汇总表（报计财科：项目津贴发放） 2 2" xfId="1046"/>
    <cellStyle name="差_A0汇总表（报计财科：项目津贴发放） 2 2 2" xfId="1047"/>
    <cellStyle name="差_A0汇总表（报计财科：项目津贴发放） 2 3" xfId="1048"/>
    <cellStyle name="差_A0汇总表（报计财科：项目津贴发放） 3" xfId="1049"/>
    <cellStyle name="差_A0汇总表（报计财科：项目津贴发放） 3 2" xfId="1050"/>
    <cellStyle name="差_A0汇总表（报计财科：项目津贴发放） 4" xfId="1051"/>
    <cellStyle name="差_A0汇总表（报计财科：项目津贴发放） 4 2" xfId="1052"/>
    <cellStyle name="差_A0汇总表（报计财科：项目津贴发放） 5" xfId="1053"/>
    <cellStyle name="差_统筹-校长（暂估）" xfId="1054"/>
    <cellStyle name="差_统筹-校长（暂估） 2" xfId="1055"/>
    <cellStyle name="差_统筹-校长（暂估） 2 2" xfId="1056"/>
    <cellStyle name="差_统筹-校长（暂估） 2 2 2" xfId="1057"/>
    <cellStyle name="差_统筹-校长（暂估） 2 3" xfId="1058"/>
    <cellStyle name="差_统筹-校长（暂估） 3" xfId="1059"/>
    <cellStyle name="差_统筹-校长（暂估） 3 2" xfId="1060"/>
    <cellStyle name="差_统筹-校长（暂估） 4" xfId="1061"/>
    <cellStyle name="差_统筹-校长（暂估） 4 2" xfId="1062"/>
    <cellStyle name="差_统筹-校长（暂估） 5" xfId="1063"/>
    <cellStyle name="差_校长、书记2015年增量部分发放清单" xfId="1064"/>
    <cellStyle name="差_校长、书记2015年增量部分发放清单 2" xfId="1065"/>
    <cellStyle name="差_校长、书记2015年增量部分发放清单 2 2" xfId="1066"/>
    <cellStyle name="差_校长、书记2015年增量部分发放清单 2 2 2" xfId="1067"/>
    <cellStyle name="差_校长、书记2015年增量部分发放清单 2 3" xfId="1068"/>
    <cellStyle name="差_校长、书记2015年增量部分发放清单 3" xfId="1069"/>
    <cellStyle name="差_校长、书记2015年增量部分发放清单 3 2" xfId="1070"/>
    <cellStyle name="差_校长、书记2015年增量部分发放清单 4" xfId="1071"/>
    <cellStyle name="差_校长、书记2015年增量部分发放清单 4 2" xfId="1072"/>
    <cellStyle name="差_校长、书记2015年增量部分发放清单 5" xfId="1073"/>
    <cellStyle name="差_校长职级、亚信会奖励、教师节奖励镇管" xfId="1074"/>
    <cellStyle name="差_校长职级、亚信会奖励、教师节奖励镇管 2" xfId="1075"/>
    <cellStyle name="差_校长职级、亚信会奖励、教师节奖励镇管 2 2" xfId="1076"/>
    <cellStyle name="差_校长职级、亚信会奖励、教师节奖励镇管 2 2 2" xfId="1077"/>
    <cellStyle name="差_校长职级、亚信会奖励、教师节奖励镇管 2 3" xfId="1078"/>
    <cellStyle name="差_校长职级、亚信会奖励、教师节奖励镇管 3" xfId="1079"/>
    <cellStyle name="差_校长职级、亚信会奖励、教师节奖励镇管 3 2" xfId="1080"/>
    <cellStyle name="差_校长职级、亚信会奖励、教师节奖励镇管 4" xfId="1081"/>
    <cellStyle name="差_校长职级、亚信会奖励、教师节奖励镇管 4 2" xfId="1082"/>
    <cellStyle name="差_校长职级、亚信会奖励、教师节奖励镇管 5" xfId="1083"/>
    <cellStyle name="差_镇管汇总" xfId="1084"/>
    <cellStyle name="差_镇管汇总 2" xfId="1085"/>
    <cellStyle name="差_镇管汇总 2 2" xfId="1086"/>
    <cellStyle name="差_镇管汇总 2 2 2" xfId="1087"/>
    <cellStyle name="差_镇管汇总 2 3" xfId="1088"/>
    <cellStyle name="差_镇管汇总 3" xfId="1089"/>
    <cellStyle name="差_镇管汇总 3 2" xfId="1090"/>
    <cellStyle name="差_镇管汇总 4" xfId="1091"/>
    <cellStyle name="差_镇管汇总 4 2" xfId="1092"/>
    <cellStyle name="差_镇管汇总 5" xfId="1093"/>
    <cellStyle name="常规" xfId="0" builtinId="0"/>
    <cellStyle name="常规 10" xfId="1094"/>
    <cellStyle name="常规 10 2" xfId="1095"/>
    <cellStyle name="常规 10 2 2" xfId="1096"/>
    <cellStyle name="常规 10 3" xfId="1097"/>
    <cellStyle name="常规 10 4" xfId="1098"/>
    <cellStyle name="常规 100" xfId="1"/>
    <cellStyle name="常规 11" xfId="1099"/>
    <cellStyle name="常规 11 2" xfId="1100"/>
    <cellStyle name="常规 11 2 2" xfId="1101"/>
    <cellStyle name="常规 11 3" xfId="1102"/>
    <cellStyle name="常规 11 4" xfId="1103"/>
    <cellStyle name="常规 12" xfId="1104"/>
    <cellStyle name="常规 12 2" xfId="1105"/>
    <cellStyle name="常规 12 2 2" xfId="1106"/>
    <cellStyle name="常规 12 3" xfId="1107"/>
    <cellStyle name="常规 12 4" xfId="1108"/>
    <cellStyle name="常规 13" xfId="1109"/>
    <cellStyle name="常规 13 2" xfId="1110"/>
    <cellStyle name="常规 14" xfId="1111"/>
    <cellStyle name="常规 14 2" xfId="1112"/>
    <cellStyle name="常规 15" xfId="1113"/>
    <cellStyle name="常规 15 2" xfId="1114"/>
    <cellStyle name="常规 16" xfId="1115"/>
    <cellStyle name="常规 16 2" xfId="1116"/>
    <cellStyle name="常规 17" xfId="1117"/>
    <cellStyle name="常规 17 2" xfId="1118"/>
    <cellStyle name="常规 18" xfId="1119"/>
    <cellStyle name="常规 18 2" xfId="1120"/>
    <cellStyle name="常规 19" xfId="1121"/>
    <cellStyle name="常规 19 2" xfId="1122"/>
    <cellStyle name="常规 2" xfId="1123"/>
    <cellStyle name="常规 2 10" xfId="1124"/>
    <cellStyle name="常规 2 10 2" xfId="1125"/>
    <cellStyle name="常规 2 11" xfId="1126"/>
    <cellStyle name="常规 2 11 2" xfId="1127"/>
    <cellStyle name="常规 2 12" xfId="1128"/>
    <cellStyle name="常规 2 2" xfId="1129"/>
    <cellStyle name="常规 2 2 2" xfId="1130"/>
    <cellStyle name="常规 2 2 2 2" xfId="1131"/>
    <cellStyle name="常规 2 2 2 2 2" xfId="1132"/>
    <cellStyle name="常规 2 2 2 2 2 2" xfId="1133"/>
    <cellStyle name="常规 2 2 2 2 3" xfId="1134"/>
    <cellStyle name="常规 2 2 2 3" xfId="1135"/>
    <cellStyle name="常规 2 2 2 3 2" xfId="1136"/>
    <cellStyle name="常规 2 2 2 4" xfId="1137"/>
    <cellStyle name="常规 2 2 3" xfId="1138"/>
    <cellStyle name="常规 2 2 3 2" xfId="1139"/>
    <cellStyle name="常规 2 2 3 2 2" xfId="1140"/>
    <cellStyle name="常规 2 2 3 3" xfId="1141"/>
    <cellStyle name="常规 2 2 4" xfId="1142"/>
    <cellStyle name="常规 2 2 4 2" xfId="1143"/>
    <cellStyle name="常规 2 2 4 2 2" xfId="1144"/>
    <cellStyle name="常规 2 2 4 3" xfId="1145"/>
    <cellStyle name="常规 2 2 5" xfId="1146"/>
    <cellStyle name="常规 2 2 5 2" xfId="1147"/>
    <cellStyle name="常规 2 2 6" xfId="1148"/>
    <cellStyle name="常规 2 3" xfId="1149"/>
    <cellStyle name="常规 2 3 2" xfId="1150"/>
    <cellStyle name="常规 2 3 2 2" xfId="1151"/>
    <cellStyle name="常规 2 3 2 2 2" xfId="1152"/>
    <cellStyle name="常规 2 3 2 3" xfId="1153"/>
    <cellStyle name="常规 2 3 3" xfId="1154"/>
    <cellStyle name="常规 2 3 3 2" xfId="1155"/>
    <cellStyle name="常规 2 3 4" xfId="1156"/>
    <cellStyle name="常规 2 3 4 2" xfId="1157"/>
    <cellStyle name="常规 2 4" xfId="1158"/>
    <cellStyle name="常规 2 4 2" xfId="1159"/>
    <cellStyle name="常规 2 4 2 2" xfId="1160"/>
    <cellStyle name="常规 2 4 2 2 2" xfId="1161"/>
    <cellStyle name="常规 2 4 2 3" xfId="1162"/>
    <cellStyle name="常规 2 4 3" xfId="1163"/>
    <cellStyle name="常规 2 4 3 2" xfId="1164"/>
    <cellStyle name="常规 2 4 4" xfId="1165"/>
    <cellStyle name="常规 2 5" xfId="1166"/>
    <cellStyle name="常规 2 5 2" xfId="1167"/>
    <cellStyle name="常规 2 5 2 2" xfId="1168"/>
    <cellStyle name="常规 2 5 3" xfId="1169"/>
    <cellStyle name="常规 2 6" xfId="1170"/>
    <cellStyle name="常规 2 6 2" xfId="1171"/>
    <cellStyle name="常规 2 7" xfId="1172"/>
    <cellStyle name="常规 2 8" xfId="1173"/>
    <cellStyle name="常规 2 8 2" xfId="1174"/>
    <cellStyle name="常规 2 8 2 2" xfId="1175"/>
    <cellStyle name="常规 2 8 3" xfId="1176"/>
    <cellStyle name="常规 2 9" xfId="1177"/>
    <cellStyle name="常规 2 9 2" xfId="1178"/>
    <cellStyle name="常规 2 9 2 2" xfId="1179"/>
    <cellStyle name="常规 2 9 3" xfId="1180"/>
    <cellStyle name="常规 2_统筹-校长（暂估）" xfId="1181"/>
    <cellStyle name="常规 20" xfId="1182"/>
    <cellStyle name="常规 21" xfId="1183"/>
    <cellStyle name="常规 21 2" xfId="1184"/>
    <cellStyle name="常规 22" xfId="1185"/>
    <cellStyle name="常规 23" xfId="1186"/>
    <cellStyle name="常规 23 2" xfId="1187"/>
    <cellStyle name="常规 24" xfId="1188"/>
    <cellStyle name="常规 25" xfId="1189"/>
    <cellStyle name="常规 25 2" xfId="1190"/>
    <cellStyle name="常规 26" xfId="1191"/>
    <cellStyle name="常规 26 2" xfId="1192"/>
    <cellStyle name="常规 27" xfId="1193"/>
    <cellStyle name="常规 27 2" xfId="1194"/>
    <cellStyle name="常规 28" xfId="1195"/>
    <cellStyle name="常规 28 2" xfId="1196"/>
    <cellStyle name="常规 29" xfId="1197"/>
    <cellStyle name="常规 29 2" xfId="1198"/>
    <cellStyle name="常规 293" xfId="2002"/>
    <cellStyle name="常规 294" xfId="2003"/>
    <cellStyle name="常规 296" xfId="2004"/>
    <cellStyle name="常规 297" xfId="2005"/>
    <cellStyle name="常规 3" xfId="1199"/>
    <cellStyle name="常规 3 2" xfId="1200"/>
    <cellStyle name="常规 3 2 2" xfId="1201"/>
    <cellStyle name="常规 3 2 2 2" xfId="1202"/>
    <cellStyle name="常规 3 2 2 2 2" xfId="1203"/>
    <cellStyle name="常规 3 2 2 3" xfId="1204"/>
    <cellStyle name="常规 3 2 3" xfId="1205"/>
    <cellStyle name="常规 3 2 3 2" xfId="1206"/>
    <cellStyle name="常规 3 2 4" xfId="1207"/>
    <cellStyle name="常规 3 2 4 2" xfId="1208"/>
    <cellStyle name="常规 3 2 5" xfId="1209"/>
    <cellStyle name="常规 3 2 5 2" xfId="1210"/>
    <cellStyle name="常规 3 2 6" xfId="1211"/>
    <cellStyle name="常规 3 2 7" xfId="1212"/>
    <cellStyle name="常规 3 3" xfId="1213"/>
    <cellStyle name="常规 3 3 2" xfId="1214"/>
    <cellStyle name="常规 3 3 2 2" xfId="1215"/>
    <cellStyle name="常规 3 3 2 2 2" xfId="1216"/>
    <cellStyle name="常规 3 3 2 3" xfId="1217"/>
    <cellStyle name="常规 3 3 3" xfId="1218"/>
    <cellStyle name="常规 3 3 3 2" xfId="1219"/>
    <cellStyle name="常规 3 3 4" xfId="1220"/>
    <cellStyle name="常规 3 3 4 2" xfId="1221"/>
    <cellStyle name="常规 3 3 5" xfId="1222"/>
    <cellStyle name="常规 3 3 5 2" xfId="1223"/>
    <cellStyle name="常规 3 3 6" xfId="1224"/>
    <cellStyle name="常规 3 4" xfId="1225"/>
    <cellStyle name="常规 3 4 2" xfId="1226"/>
    <cellStyle name="常规 3 4 2 2" xfId="1227"/>
    <cellStyle name="常规 3 4 2 2 2" xfId="1228"/>
    <cellStyle name="常规 3 4 2 3" xfId="1229"/>
    <cellStyle name="常规 3 4 3" xfId="1230"/>
    <cellStyle name="常规 3 4 3 2" xfId="1231"/>
    <cellStyle name="常规 3 4 4" xfId="1232"/>
    <cellStyle name="常规 3 4 4 2" xfId="1233"/>
    <cellStyle name="常规 3 5" xfId="1234"/>
    <cellStyle name="常规 3 5 2" xfId="1235"/>
    <cellStyle name="常规 3 5 2 2" xfId="1236"/>
    <cellStyle name="常规 3 5 3" xfId="1237"/>
    <cellStyle name="常规 3 6" xfId="1238"/>
    <cellStyle name="常规 3 7" xfId="1239"/>
    <cellStyle name="常规 3 7 2" xfId="1240"/>
    <cellStyle name="常规 3 7 2 2" xfId="1241"/>
    <cellStyle name="常规 3 7 3" xfId="1242"/>
    <cellStyle name="常规 3 8" xfId="1243"/>
    <cellStyle name="常规 3 8 2" xfId="1244"/>
    <cellStyle name="常规 3 9" xfId="1245"/>
    <cellStyle name="常规 3_统筹-校长（暂估）" xfId="1246"/>
    <cellStyle name="常规 30" xfId="1247"/>
    <cellStyle name="常规 30 2" xfId="1248"/>
    <cellStyle name="常规 31" xfId="1249"/>
    <cellStyle name="常规 31 2" xfId="1250"/>
    <cellStyle name="常规 32" xfId="1251"/>
    <cellStyle name="常规 32 2" xfId="1252"/>
    <cellStyle name="常规 33" xfId="1253"/>
    <cellStyle name="常规 33 2" xfId="1254"/>
    <cellStyle name="常规 34" xfId="1255"/>
    <cellStyle name="常规 34 2" xfId="1256"/>
    <cellStyle name="常规 35" xfId="1257"/>
    <cellStyle name="常规 35 2" xfId="1258"/>
    <cellStyle name="常规 36" xfId="1259"/>
    <cellStyle name="常规 36 2" xfId="1260"/>
    <cellStyle name="常规 37" xfId="1261"/>
    <cellStyle name="常规 37 2" xfId="1262"/>
    <cellStyle name="常规 38" xfId="1263"/>
    <cellStyle name="常规 38 2" xfId="1264"/>
    <cellStyle name="常规 39" xfId="1265"/>
    <cellStyle name="常规 39 2" xfId="1266"/>
    <cellStyle name="常规 4" xfId="1267"/>
    <cellStyle name="常规 4 2" xfId="1268"/>
    <cellStyle name="常规 4 2 2" xfId="1269"/>
    <cellStyle name="常规 4 2 2 2" xfId="1270"/>
    <cellStyle name="常规 4 2 3" xfId="1271"/>
    <cellStyle name="常规 4 3" xfId="1272"/>
    <cellStyle name="常规 4 3 2" xfId="1273"/>
    <cellStyle name="常规 4 4" xfId="1274"/>
    <cellStyle name="常规 4 4 2" xfId="1275"/>
    <cellStyle name="常规 4 5" xfId="1276"/>
    <cellStyle name="常规 4 5 2" xfId="1277"/>
    <cellStyle name="常规 4 6" xfId="1278"/>
    <cellStyle name="常规 4 6 2" xfId="1279"/>
    <cellStyle name="常规 4 7" xfId="1280"/>
    <cellStyle name="常规 4 8" xfId="1281"/>
    <cellStyle name="常规 40" xfId="1282"/>
    <cellStyle name="常规 40 2" xfId="1283"/>
    <cellStyle name="常规 41" xfId="1284"/>
    <cellStyle name="常规 41 2" xfId="1285"/>
    <cellStyle name="常规 42" xfId="1286"/>
    <cellStyle name="常规 42 2" xfId="1287"/>
    <cellStyle name="常规 43" xfId="1288"/>
    <cellStyle name="常规 43 2" xfId="1289"/>
    <cellStyle name="常规 44" xfId="1290"/>
    <cellStyle name="常规 44 2" xfId="1291"/>
    <cellStyle name="常规 45" xfId="1292"/>
    <cellStyle name="常规 45 2" xfId="1293"/>
    <cellStyle name="常规 46" xfId="1294"/>
    <cellStyle name="常规 46 2" xfId="1295"/>
    <cellStyle name="常规 47" xfId="1296"/>
    <cellStyle name="常规 47 2" xfId="1297"/>
    <cellStyle name="常规 48" xfId="1298"/>
    <cellStyle name="常规 48 2" xfId="1299"/>
    <cellStyle name="常规 49" xfId="1300"/>
    <cellStyle name="常规 49 2" xfId="1301"/>
    <cellStyle name="常规 5" xfId="1302"/>
    <cellStyle name="常规 5 2" xfId="1303"/>
    <cellStyle name="常规 5 2 2" xfId="1304"/>
    <cellStyle name="常规 5 2 2 2" xfId="1305"/>
    <cellStyle name="常规 5 2 3" xfId="1306"/>
    <cellStyle name="常规 5 3" xfId="1307"/>
    <cellStyle name="常规 5 3 2" xfId="1308"/>
    <cellStyle name="常规 5 4" xfId="1309"/>
    <cellStyle name="常规 5 4 2" xfId="1310"/>
    <cellStyle name="常规 5 5" xfId="1311"/>
    <cellStyle name="常规 5 5 2" xfId="1312"/>
    <cellStyle name="常规 5 6" xfId="1313"/>
    <cellStyle name="常规 5_虹桥枢纽—申虹路（北翟路~街坊主弄）道路新建工程121019" xfId="2011"/>
    <cellStyle name="常规 50" xfId="1314"/>
    <cellStyle name="常规 50 2" xfId="1315"/>
    <cellStyle name="常规 51" xfId="1316"/>
    <cellStyle name="常规 51 2" xfId="1317"/>
    <cellStyle name="常规 52" xfId="1318"/>
    <cellStyle name="常规 52 2" xfId="1319"/>
    <cellStyle name="常规 53" xfId="1320"/>
    <cellStyle name="常规 53 2" xfId="1321"/>
    <cellStyle name="常规 54" xfId="1322"/>
    <cellStyle name="常规 54 2" xfId="1323"/>
    <cellStyle name="常规 55" xfId="1324"/>
    <cellStyle name="常规 55 2" xfId="1325"/>
    <cellStyle name="常规 56" xfId="1326"/>
    <cellStyle name="常规 56 2" xfId="1327"/>
    <cellStyle name="常规 57" xfId="1328"/>
    <cellStyle name="常规 57 2" xfId="1329"/>
    <cellStyle name="常规 58" xfId="1330"/>
    <cellStyle name="常规 58 2" xfId="1331"/>
    <cellStyle name="常规 59" xfId="1332"/>
    <cellStyle name="常规 59 2" xfId="1333"/>
    <cellStyle name="常规 6" xfId="1334"/>
    <cellStyle name="常规 6 2" xfId="1335"/>
    <cellStyle name="常规 6 2 2" xfId="1336"/>
    <cellStyle name="常规 6 2 2 2" xfId="1337"/>
    <cellStyle name="常规 6 2 3" xfId="1338"/>
    <cellStyle name="常规 6 3" xfId="1339"/>
    <cellStyle name="常规 6 3 2" xfId="1340"/>
    <cellStyle name="常规 6 4" xfId="1341"/>
    <cellStyle name="常规 6 4 2" xfId="1342"/>
    <cellStyle name="常规 6 5" xfId="1343"/>
    <cellStyle name="常规 6 5 2" xfId="1344"/>
    <cellStyle name="常规 6 6" xfId="1345"/>
    <cellStyle name="常规 60" xfId="1346"/>
    <cellStyle name="常规 60 2" xfId="1347"/>
    <cellStyle name="常规 61" xfId="1348"/>
    <cellStyle name="常规 61 2" xfId="1349"/>
    <cellStyle name="常规 62" xfId="1350"/>
    <cellStyle name="常规 62 2" xfId="1351"/>
    <cellStyle name="常规 63" xfId="1352"/>
    <cellStyle name="常规 63 2" xfId="1353"/>
    <cellStyle name="常规 64" xfId="1354"/>
    <cellStyle name="常规 64 2" xfId="1355"/>
    <cellStyle name="常规 65" xfId="1356"/>
    <cellStyle name="常规 66" xfId="1357"/>
    <cellStyle name="常规 67" xfId="1358"/>
    <cellStyle name="常规 68" xfId="1359"/>
    <cellStyle name="常规 69" xfId="1360"/>
    <cellStyle name="常规 7" xfId="1361"/>
    <cellStyle name="常规 7 2" xfId="1362"/>
    <cellStyle name="常规 7 2 2" xfId="1363"/>
    <cellStyle name="常规 7 2 2 2" xfId="1364"/>
    <cellStyle name="常规 7 2 3" xfId="1365"/>
    <cellStyle name="常规 7 3" xfId="1366"/>
    <cellStyle name="常规 7 3 2" xfId="1367"/>
    <cellStyle name="常规 7 4" xfId="1368"/>
    <cellStyle name="常规 7 4 2" xfId="1369"/>
    <cellStyle name="常规 7 5" xfId="1370"/>
    <cellStyle name="常规 7 5 2" xfId="1371"/>
    <cellStyle name="常规 7 6" xfId="1372"/>
    <cellStyle name="常规 70" xfId="1373"/>
    <cellStyle name="常规 71" xfId="1374"/>
    <cellStyle name="常规 72" xfId="1375"/>
    <cellStyle name="常规 73" xfId="1376"/>
    <cellStyle name="常规 74" xfId="1377"/>
    <cellStyle name="常规 75" xfId="1378"/>
    <cellStyle name="常规 76" xfId="1379"/>
    <cellStyle name="常规 77" xfId="1380"/>
    <cellStyle name="常规 78" xfId="1381"/>
    <cellStyle name="常规 79" xfId="1382"/>
    <cellStyle name="常规 8" xfId="1383"/>
    <cellStyle name="常规 8 2" xfId="1384"/>
    <cellStyle name="常规 8 2 2" xfId="1385"/>
    <cellStyle name="常规 8 2 2 2" xfId="1386"/>
    <cellStyle name="常规 8 2 3" xfId="1387"/>
    <cellStyle name="常规 8 3" xfId="1388"/>
    <cellStyle name="常规 8 3 2" xfId="1389"/>
    <cellStyle name="常规 8 4" xfId="1390"/>
    <cellStyle name="常规 8 4 2" xfId="1391"/>
    <cellStyle name="常规 8 5" xfId="1392"/>
    <cellStyle name="常规 8 5 2" xfId="1393"/>
    <cellStyle name="常规 8 6" xfId="1394"/>
    <cellStyle name="常规 80" xfId="1395"/>
    <cellStyle name="常规 81" xfId="1396"/>
    <cellStyle name="常规 82" xfId="1397"/>
    <cellStyle name="常规 83" xfId="1398"/>
    <cellStyle name="常规 84" xfId="1399"/>
    <cellStyle name="常规 85" xfId="1400"/>
    <cellStyle name="常规 86" xfId="1401"/>
    <cellStyle name="常规 87" xfId="1402"/>
    <cellStyle name="常规 88" xfId="1403"/>
    <cellStyle name="常规 89" xfId="1404"/>
    <cellStyle name="常规 9" xfId="1405"/>
    <cellStyle name="常规 9 2" xfId="1406"/>
    <cellStyle name="常规 9 2 2" xfId="1407"/>
    <cellStyle name="常规 9 2 2 2" xfId="1408"/>
    <cellStyle name="常规 9 2 2 2 2" xfId="1409"/>
    <cellStyle name="常规 9 2 2 3" xfId="1410"/>
    <cellStyle name="常规 9 2 3" xfId="1411"/>
    <cellStyle name="常规 9 2 3 2" xfId="1412"/>
    <cellStyle name="常规 9 2 4" xfId="1413"/>
    <cellStyle name="常规 9 3" xfId="1414"/>
    <cellStyle name="常规 9 3 2" xfId="1415"/>
    <cellStyle name="常规 9 3 2 2" xfId="1416"/>
    <cellStyle name="常规 9 3 3" xfId="1417"/>
    <cellStyle name="常规 9 4" xfId="1418"/>
    <cellStyle name="常规 9 4 2" xfId="1419"/>
    <cellStyle name="常规 9 4 2 2" xfId="1420"/>
    <cellStyle name="常规 9 4 3" xfId="1421"/>
    <cellStyle name="常规 9 5" xfId="1422"/>
    <cellStyle name="常规 9 5 2" xfId="1423"/>
    <cellStyle name="常规 9 6" xfId="1424"/>
    <cellStyle name="常规 90" xfId="1425"/>
    <cellStyle name="常规 91" xfId="1426"/>
    <cellStyle name="常规 92" xfId="1427"/>
    <cellStyle name="常规 93" xfId="1428"/>
    <cellStyle name="常规 94" xfId="1429"/>
    <cellStyle name="常规 95" xfId="1430"/>
    <cellStyle name="常规 96" xfId="1431"/>
    <cellStyle name="常规 97" xfId="1432"/>
    <cellStyle name="常规 98" xfId="1433"/>
    <cellStyle name="常规 99" xfId="1434"/>
    <cellStyle name="常规_Sheet1" xfId="2007"/>
    <cellStyle name="常规_Sheet1 2" xfId="2013"/>
    <cellStyle name="超链接" xfId="2000" builtinId="8"/>
    <cellStyle name="超链接 2" xfId="1435"/>
    <cellStyle name="好 2" xfId="1436"/>
    <cellStyle name="好 2 2" xfId="1437"/>
    <cellStyle name="好 2 2 2" xfId="1438"/>
    <cellStyle name="好 2 3" xfId="1439"/>
    <cellStyle name="好 3" xfId="1440"/>
    <cellStyle name="好 3 2" xfId="1441"/>
    <cellStyle name="好 3 2 2" xfId="1442"/>
    <cellStyle name="好 3 3" xfId="1443"/>
    <cellStyle name="好 4" xfId="1444"/>
    <cellStyle name="好 4 2" xfId="1445"/>
    <cellStyle name="好 4 2 2" xfId="1446"/>
    <cellStyle name="好 4 3" xfId="1447"/>
    <cellStyle name="好 5" xfId="1448"/>
    <cellStyle name="好 5 2" xfId="1449"/>
    <cellStyle name="好 6" xfId="1450"/>
    <cellStyle name="好 6 2" xfId="1451"/>
    <cellStyle name="好 7" xfId="1452"/>
    <cellStyle name="好 7 2" xfId="1453"/>
    <cellStyle name="好 8" xfId="1454"/>
    <cellStyle name="好_2013见习培训经费表下半年(chen)2014年9月" xfId="1455"/>
    <cellStyle name="好_2013见习培训经费表下半年(chen)2014年9月 2" xfId="1456"/>
    <cellStyle name="好_2013见习培训经费表下半年(chen)2014年9月 2 2" xfId="1457"/>
    <cellStyle name="好_2013见习培训经费表下半年(chen)2014年9月 2 2 2" xfId="1458"/>
    <cellStyle name="好_2013见习培训经费表下半年(chen)2014年9月 2 3" xfId="1459"/>
    <cellStyle name="好_2013见习培训经费表下半年(chen)2014年9月 3" xfId="1460"/>
    <cellStyle name="好_2013见习培训经费表下半年(chen)2014年9月 3 2" xfId="1461"/>
    <cellStyle name="好_2013见习培训经费表下半年(chen)2014年9月 4" xfId="1462"/>
    <cellStyle name="好_2013见习培训经费表下半年(chen)2014年9月 4 2" xfId="1463"/>
    <cellStyle name="好_2013见习培训经费表下半年(chen)2014年9月 5" xfId="1464"/>
    <cellStyle name="好_2014年聘用学校导师带教经费表" xfId="1465"/>
    <cellStyle name="好_2014年聘用学校导师带教经费表 2" xfId="1466"/>
    <cellStyle name="好_2014年聘用学校导师带教经费表 2 2" xfId="1467"/>
    <cellStyle name="好_2014年聘用学校导师带教经费表 2 2 2" xfId="1468"/>
    <cellStyle name="好_2014年聘用学校导师带教经费表 2 3" xfId="1469"/>
    <cellStyle name="好_2014年聘用学校导师带教经费表 3" xfId="1470"/>
    <cellStyle name="好_2014年聘用学校导师带教经费表 3 2" xfId="1471"/>
    <cellStyle name="好_2014年聘用学校导师带教经费表 3 2 2" xfId="1472"/>
    <cellStyle name="好_2014年聘用学校导师带教经费表 3 3" xfId="1473"/>
    <cellStyle name="好_2014年聘用学校导师带教经费表 4" xfId="1474"/>
    <cellStyle name="好_2014年聘用学校导师带教经费表 4 2" xfId="1475"/>
    <cellStyle name="好_2014年聘用学校导师带教经费表 4 2 2" xfId="1476"/>
    <cellStyle name="好_2014年聘用学校导师带教经费表 4 3" xfId="1477"/>
    <cellStyle name="好_2014年聘用学校导师带教经费表 5" xfId="1478"/>
    <cellStyle name="好_2014年聘用学校导师带教经费表 5 2" xfId="1479"/>
    <cellStyle name="好_2014年聘用学校导师带教经费表 6" xfId="1480"/>
    <cellStyle name="好_2014年聘用学校导师带教经费表 6 2" xfId="1481"/>
    <cellStyle name="好_2014年聘用学校导师带教经费表 7" xfId="1482"/>
    <cellStyle name="好_2014年终考核奖完整版-给核算中心" xfId="1483"/>
    <cellStyle name="好_2014年终考核奖完整版-给核算中心 2" xfId="1484"/>
    <cellStyle name="好_2014年终考核奖完整版-给核算中心 2 2" xfId="1485"/>
    <cellStyle name="好_2014年终考核奖完整版-给核算中心 2 2 2" xfId="1486"/>
    <cellStyle name="好_2014年终考核奖完整版-给核算中心 2 3" xfId="1487"/>
    <cellStyle name="好_2014年终考核奖完整版-给核算中心 3" xfId="1488"/>
    <cellStyle name="好_2014年终考核奖完整版-给核算中心 3 2" xfId="1489"/>
    <cellStyle name="好_2014年终考核奖完整版-给核算中心 4" xfId="1490"/>
    <cellStyle name="好_2014年终考核奖完整版-给核算中心 4 2" xfId="1491"/>
    <cellStyle name="好_2014年终考核奖完整版-给核算中心 5" xfId="1492"/>
    <cellStyle name="好_2014优秀学校奖励测算表" xfId="1493"/>
    <cellStyle name="好_2014优秀学校奖励测算表 2" xfId="1494"/>
    <cellStyle name="好_2014优秀学校奖励测算表 2 2" xfId="1495"/>
    <cellStyle name="好_2014优秀学校奖励测算表 2 2 2" xfId="1496"/>
    <cellStyle name="好_2014优秀学校奖励测算表 2 3" xfId="1497"/>
    <cellStyle name="好_2014优秀学校奖励测算表 3" xfId="1498"/>
    <cellStyle name="好_2014优秀学校奖励测算表 3 2" xfId="1499"/>
    <cellStyle name="好_2014优秀学校奖励测算表 4" xfId="1500"/>
    <cellStyle name="好_2014优秀学校奖励测算表 4 2" xfId="1501"/>
    <cellStyle name="好_2014优秀学校奖励测算表 5" xfId="1502"/>
    <cellStyle name="好_2015年年终奖预发表-给核算中心" xfId="1503"/>
    <cellStyle name="好_2015年年终奖预发表-给核算中心 2" xfId="1504"/>
    <cellStyle name="好_2015年年终奖预发表-给核算中心 2 2" xfId="1505"/>
    <cellStyle name="好_2015年年终奖预发表-给核算中心 2 2 2" xfId="1506"/>
    <cellStyle name="好_2015年年终奖预发表-给核算中心 2 3" xfId="1507"/>
    <cellStyle name="好_2015年年终奖预发表-给核算中心 3" xfId="1508"/>
    <cellStyle name="好_2015年年终奖预发表-给核算中心 3 2" xfId="1509"/>
    <cellStyle name="好_2015年年终奖预发表-给核算中心 4" xfId="1510"/>
    <cellStyle name="好_2015年年终奖预发表-给核算中心 4 2" xfId="1511"/>
    <cellStyle name="好_2015年年终奖预发表-给核算中心 5" xfId="1512"/>
    <cellStyle name="好_2016年3月校长职级工资（核算中心）" xfId="1513"/>
    <cellStyle name="好_2016年3月校长职级工资（核算中心） 2" xfId="1514"/>
    <cellStyle name="好_2016年3月校长职级工资（核算中心） 2 2" xfId="1515"/>
    <cellStyle name="好_2016年3月校长职级工资（核算中心） 2 2 2" xfId="1516"/>
    <cellStyle name="好_2016年3月校长职级工资（核算中心） 2 3" xfId="1517"/>
    <cellStyle name="好_2016年3月校长职级工资（核算中心） 3" xfId="1518"/>
    <cellStyle name="好_2016年3月校长职级工资（核算中心） 3 2" xfId="1519"/>
    <cellStyle name="好_2016年3月校长职级工资（核算中心） 4" xfId="1520"/>
    <cellStyle name="好_2016年3月校长职级工资（核算中心） 4 2" xfId="1521"/>
    <cellStyle name="好_2016年3月校长职级工资（核算中心） 5" xfId="1522"/>
    <cellStyle name="好_A0汇总表（报计财科：项目津贴发放）" xfId="1523"/>
    <cellStyle name="好_A0汇总表（报计财科：项目津贴发放） 2" xfId="1524"/>
    <cellStyle name="好_A0汇总表（报计财科：项目津贴发放） 2 2" xfId="1525"/>
    <cellStyle name="好_A0汇总表（报计财科：项目津贴发放） 2 2 2" xfId="1526"/>
    <cellStyle name="好_A0汇总表（报计财科：项目津贴发放） 2 3" xfId="1527"/>
    <cellStyle name="好_A0汇总表（报计财科：项目津贴发放） 3" xfId="1528"/>
    <cellStyle name="好_A0汇总表（报计财科：项目津贴发放） 3 2" xfId="1529"/>
    <cellStyle name="好_A0汇总表（报计财科：项目津贴发放） 4" xfId="1530"/>
    <cellStyle name="好_A0汇总表（报计财科：项目津贴发放） 4 2" xfId="1531"/>
    <cellStyle name="好_A0汇总表（报计财科：项目津贴发放） 5" xfId="1532"/>
    <cellStyle name="好_统筹-校长（暂估）" xfId="1533"/>
    <cellStyle name="好_统筹-校长（暂估） 2" xfId="1534"/>
    <cellStyle name="好_统筹-校长（暂估） 2 2" xfId="1535"/>
    <cellStyle name="好_统筹-校长（暂估） 2 2 2" xfId="1536"/>
    <cellStyle name="好_统筹-校长（暂估） 2 3" xfId="1537"/>
    <cellStyle name="好_统筹-校长（暂估） 3" xfId="1538"/>
    <cellStyle name="好_统筹-校长（暂估） 3 2" xfId="1539"/>
    <cellStyle name="好_统筹-校长（暂估） 4" xfId="1540"/>
    <cellStyle name="好_统筹-校长（暂估） 4 2" xfId="1541"/>
    <cellStyle name="好_统筹-校长（暂估） 5" xfId="1542"/>
    <cellStyle name="好_校长、书记2015年增量部分发放清单" xfId="1543"/>
    <cellStyle name="好_校长、书记2015年增量部分发放清单 2" xfId="1544"/>
    <cellStyle name="好_校长、书记2015年增量部分发放清单 2 2" xfId="1545"/>
    <cellStyle name="好_校长、书记2015年增量部分发放清单 2 2 2" xfId="1546"/>
    <cellStyle name="好_校长、书记2015年增量部分发放清单 2 3" xfId="1547"/>
    <cellStyle name="好_校长、书记2015年增量部分发放清单 3" xfId="1548"/>
    <cellStyle name="好_校长、书记2015年增量部分发放清单 3 2" xfId="1549"/>
    <cellStyle name="好_校长、书记2015年增量部分发放清单 4" xfId="1550"/>
    <cellStyle name="好_校长、书记2015年增量部分发放清单 4 2" xfId="1551"/>
    <cellStyle name="好_校长、书记2015年增量部分发放清单 5" xfId="1552"/>
    <cellStyle name="好_校长职级、亚信会奖励、教师节奖励镇管" xfId="1553"/>
    <cellStyle name="好_校长职级、亚信会奖励、教师节奖励镇管 2" xfId="1554"/>
    <cellStyle name="好_校长职级、亚信会奖励、教师节奖励镇管 2 2" xfId="1555"/>
    <cellStyle name="好_校长职级、亚信会奖励、教师节奖励镇管 2 2 2" xfId="1556"/>
    <cellStyle name="好_校长职级、亚信会奖励、教师节奖励镇管 2 3" xfId="1557"/>
    <cellStyle name="好_校长职级、亚信会奖励、教师节奖励镇管 3" xfId="1558"/>
    <cellStyle name="好_校长职级、亚信会奖励、教师节奖励镇管 3 2" xfId="1559"/>
    <cellStyle name="好_校长职级、亚信会奖励、教师节奖励镇管 4" xfId="1560"/>
    <cellStyle name="好_校长职级、亚信会奖励、教师节奖励镇管 4 2" xfId="1561"/>
    <cellStyle name="好_校长职级、亚信会奖励、教师节奖励镇管 5" xfId="1562"/>
    <cellStyle name="好_镇管汇总" xfId="1563"/>
    <cellStyle name="好_镇管汇总 2" xfId="1564"/>
    <cellStyle name="好_镇管汇总 2 2" xfId="1565"/>
    <cellStyle name="好_镇管汇总 2 2 2" xfId="1566"/>
    <cellStyle name="好_镇管汇总 2 3" xfId="1567"/>
    <cellStyle name="好_镇管汇总 3" xfId="1568"/>
    <cellStyle name="好_镇管汇总 3 2" xfId="1569"/>
    <cellStyle name="好_镇管汇总 4" xfId="1570"/>
    <cellStyle name="好_镇管汇总 4 2" xfId="1571"/>
    <cellStyle name="好_镇管汇总 5" xfId="1572"/>
    <cellStyle name="汇总 2" xfId="1573"/>
    <cellStyle name="汇总 2 2" xfId="1574"/>
    <cellStyle name="汇总 2 2 2" xfId="1575"/>
    <cellStyle name="汇总 2 3" xfId="1576"/>
    <cellStyle name="汇总 3" xfId="1577"/>
    <cellStyle name="汇总 3 2" xfId="1578"/>
    <cellStyle name="汇总 3 2 2" xfId="1579"/>
    <cellStyle name="汇总 3 3" xfId="1580"/>
    <cellStyle name="汇总 4" xfId="1581"/>
    <cellStyle name="汇总 4 2" xfId="1582"/>
    <cellStyle name="汇总 4 2 2" xfId="1583"/>
    <cellStyle name="汇总 4 3" xfId="1584"/>
    <cellStyle name="汇总 5" xfId="1585"/>
    <cellStyle name="汇总 5 2" xfId="1586"/>
    <cellStyle name="汇总 6" xfId="1587"/>
    <cellStyle name="汇总 6 2" xfId="1588"/>
    <cellStyle name="计算 2" xfId="1589"/>
    <cellStyle name="计算 2 2" xfId="1590"/>
    <cellStyle name="计算 2 2 2" xfId="1591"/>
    <cellStyle name="计算 2 3" xfId="1592"/>
    <cellStyle name="计算 3" xfId="1593"/>
    <cellStyle name="计算 3 2" xfId="1594"/>
    <cellStyle name="计算 3 2 2" xfId="1595"/>
    <cellStyle name="计算 3 3" xfId="1596"/>
    <cellStyle name="计算 4" xfId="1597"/>
    <cellStyle name="计算 4 2" xfId="1598"/>
    <cellStyle name="计算 4 2 2" xfId="1599"/>
    <cellStyle name="计算 4 3" xfId="1600"/>
    <cellStyle name="计算 5" xfId="1601"/>
    <cellStyle name="计算 5 2" xfId="1602"/>
    <cellStyle name="计算 6" xfId="1603"/>
    <cellStyle name="计算 6 2" xfId="1604"/>
    <cellStyle name="计算 7" xfId="1605"/>
    <cellStyle name="计算 7 2" xfId="1606"/>
    <cellStyle name="检查单元格 2" xfId="1607"/>
    <cellStyle name="检查单元格 2 2" xfId="1608"/>
    <cellStyle name="检查单元格 2 2 2" xfId="1609"/>
    <cellStyle name="检查单元格 2 3" xfId="1610"/>
    <cellStyle name="检查单元格 3" xfId="1611"/>
    <cellStyle name="检查单元格 3 2" xfId="1612"/>
    <cellStyle name="检查单元格 3 2 2" xfId="1613"/>
    <cellStyle name="检查单元格 3 3" xfId="1614"/>
    <cellStyle name="检查单元格 4" xfId="1615"/>
    <cellStyle name="检查单元格 4 2" xfId="1616"/>
    <cellStyle name="检查单元格 4 2 2" xfId="1617"/>
    <cellStyle name="检查单元格 4 3" xfId="1618"/>
    <cellStyle name="检查单元格 5" xfId="1619"/>
    <cellStyle name="检查单元格 5 2" xfId="1620"/>
    <cellStyle name="检查单元格 6" xfId="1621"/>
    <cellStyle name="检查单元格 6 2" xfId="1622"/>
    <cellStyle name="检查单元格 7" xfId="1623"/>
    <cellStyle name="检查单元格 7 2" xfId="1624"/>
    <cellStyle name="解释性文本 2" xfId="1625"/>
    <cellStyle name="解释性文本 2 2" xfId="1626"/>
    <cellStyle name="解释性文本 2 2 2" xfId="1627"/>
    <cellStyle name="解释性文本 2 3" xfId="1628"/>
    <cellStyle name="解释性文本 3" xfId="1629"/>
    <cellStyle name="解释性文本 3 2" xfId="1630"/>
    <cellStyle name="解释性文本 3 2 2" xfId="1631"/>
    <cellStyle name="解释性文本 3 3" xfId="1632"/>
    <cellStyle name="解释性文本 4" xfId="1633"/>
    <cellStyle name="解释性文本 4 2" xfId="1634"/>
    <cellStyle name="解释性文本 4 2 2" xfId="1635"/>
    <cellStyle name="解释性文本 4 3" xfId="1636"/>
    <cellStyle name="解释性文本 5" xfId="1637"/>
    <cellStyle name="解释性文本 5 2" xfId="1638"/>
    <cellStyle name="解释性文本 6" xfId="1639"/>
    <cellStyle name="解释性文本 6 2" xfId="1640"/>
    <cellStyle name="警告文本 2" xfId="1641"/>
    <cellStyle name="警告文本 2 2" xfId="1642"/>
    <cellStyle name="警告文本 2 2 2" xfId="1643"/>
    <cellStyle name="警告文本 2 3" xfId="1644"/>
    <cellStyle name="警告文本 3" xfId="1645"/>
    <cellStyle name="警告文本 3 2" xfId="1646"/>
    <cellStyle name="警告文本 3 2 2" xfId="1647"/>
    <cellStyle name="警告文本 3 3" xfId="1648"/>
    <cellStyle name="警告文本 4" xfId="1649"/>
    <cellStyle name="警告文本 4 2" xfId="1650"/>
    <cellStyle name="警告文本 4 2 2" xfId="1651"/>
    <cellStyle name="警告文本 4 3" xfId="1652"/>
    <cellStyle name="警告文本 5" xfId="1653"/>
    <cellStyle name="警告文本 5 2" xfId="1654"/>
    <cellStyle name="警告文本 6" xfId="1655"/>
    <cellStyle name="警告文本 6 2" xfId="1656"/>
    <cellStyle name="链接单元格 2" xfId="1657"/>
    <cellStyle name="链接单元格 2 2" xfId="1658"/>
    <cellStyle name="链接单元格 2 2 2" xfId="1659"/>
    <cellStyle name="链接单元格 2 3" xfId="1660"/>
    <cellStyle name="链接单元格 3" xfId="1661"/>
    <cellStyle name="链接单元格 3 2" xfId="1662"/>
    <cellStyle name="链接单元格 3 2 2" xfId="1663"/>
    <cellStyle name="链接单元格 3 3" xfId="1664"/>
    <cellStyle name="链接单元格 4" xfId="1665"/>
    <cellStyle name="链接单元格 4 2" xfId="1666"/>
    <cellStyle name="链接单元格 4 2 2" xfId="1667"/>
    <cellStyle name="链接单元格 4 3" xfId="1668"/>
    <cellStyle name="链接单元格 5" xfId="1669"/>
    <cellStyle name="链接单元格 5 2" xfId="1670"/>
    <cellStyle name="链接单元格 6" xfId="1671"/>
    <cellStyle name="链接单元格 6 2" xfId="1672"/>
    <cellStyle name="千位分隔" xfId="2001" builtinId="3"/>
    <cellStyle name="千位分隔 10" xfId="1673"/>
    <cellStyle name="千位分隔 10 2" xfId="1674"/>
    <cellStyle name="千位分隔 11" xfId="1675"/>
    <cellStyle name="千位分隔 12" xfId="1676"/>
    <cellStyle name="千位分隔 12 2" xfId="1677"/>
    <cellStyle name="千位分隔 12 3 3" xfId="2006"/>
    <cellStyle name="千位分隔 13" xfId="1678"/>
    <cellStyle name="千位分隔 14" xfId="1679"/>
    <cellStyle name="千位分隔 14 2" xfId="1680"/>
    <cellStyle name="千位分隔 2" xfId="1681"/>
    <cellStyle name="千位分隔 2 2" xfId="1682"/>
    <cellStyle name="千位分隔 2 2 2" xfId="1683"/>
    <cellStyle name="千位分隔 2 2 2 2" xfId="1684"/>
    <cellStyle name="千位分隔 2 2 3" xfId="1685"/>
    <cellStyle name="千位分隔 2 2 4" xfId="1686"/>
    <cellStyle name="千位分隔 2 3" xfId="1687"/>
    <cellStyle name="千位分隔 2 3 2" xfId="1688"/>
    <cellStyle name="千位分隔 2 3 3" xfId="1689"/>
    <cellStyle name="千位分隔 2 4" xfId="1690"/>
    <cellStyle name="千位分隔 2 4 2" xfId="1691"/>
    <cellStyle name="千位分隔 2 4 2 2" xfId="1692"/>
    <cellStyle name="千位分隔 2 4 3" xfId="1693"/>
    <cellStyle name="千位分隔 2 5" xfId="1694"/>
    <cellStyle name="千位分隔 2 5 2" xfId="1695"/>
    <cellStyle name="千位分隔 2 6" xfId="1696"/>
    <cellStyle name="千位分隔 2 6 2" xfId="1697"/>
    <cellStyle name="千位分隔 2 7" xfId="1698"/>
    <cellStyle name="千位分隔 2 7 2" xfId="1699"/>
    <cellStyle name="千位分隔 2 8" xfId="1700"/>
    <cellStyle name="千位分隔 2 8 2" xfId="1701"/>
    <cellStyle name="千位分隔 2 9" xfId="1702"/>
    <cellStyle name="千位分隔 3" xfId="1703"/>
    <cellStyle name="千位分隔 3 2" xfId="1704"/>
    <cellStyle name="千位分隔 3 2 2" xfId="1705"/>
    <cellStyle name="千位分隔 3 2 2 2" xfId="1706"/>
    <cellStyle name="千位分隔 3 2 3" xfId="1707"/>
    <cellStyle name="千位分隔 3 3" xfId="1708"/>
    <cellStyle name="千位分隔 3 3 2" xfId="1709"/>
    <cellStyle name="千位分隔 3 4" xfId="1710"/>
    <cellStyle name="千位分隔 4" xfId="1711"/>
    <cellStyle name="千位分隔 4 2" xfId="1712"/>
    <cellStyle name="千位分隔 4 3" xfId="1713"/>
    <cellStyle name="千位分隔 5" xfId="1714"/>
    <cellStyle name="千位分隔 5 2" xfId="1715"/>
    <cellStyle name="千位分隔 5 2 2" xfId="1716"/>
    <cellStyle name="千位分隔 5 3" xfId="1717"/>
    <cellStyle name="千位分隔 6" xfId="1718"/>
    <cellStyle name="千位分隔 6 2" xfId="1719"/>
    <cellStyle name="千位分隔 6 2 2" xfId="1720"/>
    <cellStyle name="千位分隔 6 3" xfId="1721"/>
    <cellStyle name="千位分隔 7" xfId="1722"/>
    <cellStyle name="千位分隔 7 2" xfId="1723"/>
    <cellStyle name="千位分隔 8" xfId="1724"/>
    <cellStyle name="千位分隔 8 2" xfId="1725"/>
    <cellStyle name="千位分隔 9" xfId="1726"/>
    <cellStyle name="千位分隔[0] 2" xfId="2009"/>
    <cellStyle name="千位分隔[0] 2 4" xfId="2012"/>
    <cellStyle name="千位分隔[0] 3" xfId="2010"/>
    <cellStyle name="强调文字颜色 1 2" xfId="1727"/>
    <cellStyle name="强调文字颜色 1 2 2" xfId="1728"/>
    <cellStyle name="强调文字颜色 1 2 2 2" xfId="1729"/>
    <cellStyle name="强调文字颜色 1 2 3" xfId="1730"/>
    <cellStyle name="强调文字颜色 1 3" xfId="1731"/>
    <cellStyle name="强调文字颜色 1 3 2" xfId="1732"/>
    <cellStyle name="强调文字颜色 1 3 2 2" xfId="1733"/>
    <cellStyle name="强调文字颜色 1 3 3" xfId="1734"/>
    <cellStyle name="强调文字颜色 1 4" xfId="1735"/>
    <cellStyle name="强调文字颜色 1 4 2" xfId="1736"/>
    <cellStyle name="强调文字颜色 1 4 2 2" xfId="1737"/>
    <cellStyle name="强调文字颜色 1 4 3" xfId="1738"/>
    <cellStyle name="强调文字颜色 1 5" xfId="1739"/>
    <cellStyle name="强调文字颜色 1 5 2" xfId="1740"/>
    <cellStyle name="强调文字颜色 1 6" xfId="1741"/>
    <cellStyle name="强调文字颜色 1 6 2" xfId="1742"/>
    <cellStyle name="强调文字颜色 1 7" xfId="1743"/>
    <cellStyle name="强调文字颜色 1 7 2" xfId="1744"/>
    <cellStyle name="强调文字颜色 2 2" xfId="1745"/>
    <cellStyle name="强调文字颜色 2 2 2" xfId="1746"/>
    <cellStyle name="强调文字颜色 2 2 2 2" xfId="1747"/>
    <cellStyle name="强调文字颜色 2 2 3" xfId="1748"/>
    <cellStyle name="强调文字颜色 2 3" xfId="1749"/>
    <cellStyle name="强调文字颜色 2 3 2" xfId="1750"/>
    <cellStyle name="强调文字颜色 2 3 2 2" xfId="1751"/>
    <cellStyle name="强调文字颜色 2 3 3" xfId="1752"/>
    <cellStyle name="强调文字颜色 2 4" xfId="1753"/>
    <cellStyle name="强调文字颜色 2 4 2" xfId="1754"/>
    <cellStyle name="强调文字颜色 2 4 2 2" xfId="1755"/>
    <cellStyle name="强调文字颜色 2 4 3" xfId="1756"/>
    <cellStyle name="强调文字颜色 2 5" xfId="1757"/>
    <cellStyle name="强调文字颜色 2 5 2" xfId="1758"/>
    <cellStyle name="强调文字颜色 2 6" xfId="1759"/>
    <cellStyle name="强调文字颜色 2 6 2" xfId="1760"/>
    <cellStyle name="强调文字颜色 2 7" xfId="1761"/>
    <cellStyle name="强调文字颜色 2 7 2" xfId="1762"/>
    <cellStyle name="强调文字颜色 3 2" xfId="1763"/>
    <cellStyle name="强调文字颜色 3 2 2" xfId="1764"/>
    <cellStyle name="强调文字颜色 3 2 2 2" xfId="1765"/>
    <cellStyle name="强调文字颜色 3 2 3" xfId="1766"/>
    <cellStyle name="强调文字颜色 3 3" xfId="1767"/>
    <cellStyle name="强调文字颜色 3 3 2" xfId="1768"/>
    <cellStyle name="强调文字颜色 3 3 2 2" xfId="1769"/>
    <cellStyle name="强调文字颜色 3 3 3" xfId="1770"/>
    <cellStyle name="强调文字颜色 3 4" xfId="1771"/>
    <cellStyle name="强调文字颜色 3 4 2" xfId="1772"/>
    <cellStyle name="强调文字颜色 3 4 2 2" xfId="1773"/>
    <cellStyle name="强调文字颜色 3 4 3" xfId="1774"/>
    <cellStyle name="强调文字颜色 3 5" xfId="1775"/>
    <cellStyle name="强调文字颜色 3 5 2" xfId="1776"/>
    <cellStyle name="强调文字颜色 3 6" xfId="1777"/>
    <cellStyle name="强调文字颜色 3 6 2" xfId="1778"/>
    <cellStyle name="强调文字颜色 3 7" xfId="1779"/>
    <cellStyle name="强调文字颜色 3 7 2" xfId="1780"/>
    <cellStyle name="强调文字颜色 4 2" xfId="1781"/>
    <cellStyle name="强调文字颜色 4 2 2" xfId="1782"/>
    <cellStyle name="强调文字颜色 4 2 2 2" xfId="1783"/>
    <cellStyle name="强调文字颜色 4 2 3" xfId="1784"/>
    <cellStyle name="强调文字颜色 4 3" xfId="1785"/>
    <cellStyle name="强调文字颜色 4 3 2" xfId="1786"/>
    <cellStyle name="强调文字颜色 4 3 2 2" xfId="1787"/>
    <cellStyle name="强调文字颜色 4 3 3" xfId="1788"/>
    <cellStyle name="强调文字颜色 4 4" xfId="1789"/>
    <cellStyle name="强调文字颜色 4 4 2" xfId="1790"/>
    <cellStyle name="强调文字颜色 4 4 2 2" xfId="1791"/>
    <cellStyle name="强调文字颜色 4 4 3" xfId="1792"/>
    <cellStyle name="强调文字颜色 4 5" xfId="1793"/>
    <cellStyle name="强调文字颜色 4 5 2" xfId="1794"/>
    <cellStyle name="强调文字颜色 4 6" xfId="1795"/>
    <cellStyle name="强调文字颜色 4 6 2" xfId="1796"/>
    <cellStyle name="强调文字颜色 4 7" xfId="1797"/>
    <cellStyle name="强调文字颜色 4 7 2" xfId="1798"/>
    <cellStyle name="强调文字颜色 5 2" xfId="1799"/>
    <cellStyle name="强调文字颜色 5 2 2" xfId="1800"/>
    <cellStyle name="强调文字颜色 5 2 2 2" xfId="1801"/>
    <cellStyle name="强调文字颜色 5 2 3" xfId="1802"/>
    <cellStyle name="强调文字颜色 5 3" xfId="1803"/>
    <cellStyle name="强调文字颜色 5 3 2" xfId="1804"/>
    <cellStyle name="强调文字颜色 5 3 2 2" xfId="1805"/>
    <cellStyle name="强调文字颜色 5 3 3" xfId="1806"/>
    <cellStyle name="强调文字颜色 5 4" xfId="1807"/>
    <cellStyle name="强调文字颜色 5 4 2" xfId="1808"/>
    <cellStyle name="强调文字颜色 5 4 2 2" xfId="1809"/>
    <cellStyle name="强调文字颜色 5 4 3" xfId="1810"/>
    <cellStyle name="强调文字颜色 5 5" xfId="1811"/>
    <cellStyle name="强调文字颜色 5 5 2" xfId="1812"/>
    <cellStyle name="强调文字颜色 5 6" xfId="1813"/>
    <cellStyle name="强调文字颜色 5 6 2" xfId="1814"/>
    <cellStyle name="强调文字颜色 5 7" xfId="1815"/>
    <cellStyle name="强调文字颜色 5 7 2" xfId="1816"/>
    <cellStyle name="强调文字颜色 6 2" xfId="1817"/>
    <cellStyle name="强调文字颜色 6 2 2" xfId="1818"/>
    <cellStyle name="强调文字颜色 6 2 2 2" xfId="1819"/>
    <cellStyle name="强调文字颜色 6 2 3" xfId="1820"/>
    <cellStyle name="强调文字颜色 6 3" xfId="1821"/>
    <cellStyle name="强调文字颜色 6 3 2" xfId="1822"/>
    <cellStyle name="强调文字颜色 6 3 2 2" xfId="1823"/>
    <cellStyle name="强调文字颜色 6 3 3" xfId="1824"/>
    <cellStyle name="强调文字颜色 6 4" xfId="1825"/>
    <cellStyle name="强调文字颜色 6 4 2" xfId="1826"/>
    <cellStyle name="强调文字颜色 6 4 2 2" xfId="1827"/>
    <cellStyle name="强调文字颜色 6 4 3" xfId="1828"/>
    <cellStyle name="强调文字颜色 6 5" xfId="1829"/>
    <cellStyle name="强调文字颜色 6 5 2" xfId="1830"/>
    <cellStyle name="强调文字颜色 6 6" xfId="1831"/>
    <cellStyle name="强调文字颜色 6 6 2" xfId="1832"/>
    <cellStyle name="强调文字颜色 6 7" xfId="1833"/>
    <cellStyle name="强调文字颜色 6 7 2" xfId="1834"/>
    <cellStyle name="适中 2" xfId="1835"/>
    <cellStyle name="适中 2 2" xfId="1836"/>
    <cellStyle name="适中 2 2 2" xfId="1837"/>
    <cellStyle name="适中 2 3" xfId="1838"/>
    <cellStyle name="适中 3" xfId="1839"/>
    <cellStyle name="适中 3 2" xfId="1840"/>
    <cellStyle name="适中 3 2 2" xfId="1841"/>
    <cellStyle name="适中 3 3" xfId="1842"/>
    <cellStyle name="适中 4" xfId="1843"/>
    <cellStyle name="适中 4 2" xfId="1844"/>
    <cellStyle name="适中 4 2 2" xfId="1845"/>
    <cellStyle name="适中 4 3" xfId="1846"/>
    <cellStyle name="适中 5" xfId="1847"/>
    <cellStyle name="适中 5 2" xfId="1848"/>
    <cellStyle name="适中 6" xfId="1849"/>
    <cellStyle name="适中 6 2" xfId="1850"/>
    <cellStyle name="适中 7" xfId="1851"/>
    <cellStyle name="适中 7 2" xfId="1852"/>
    <cellStyle name="输出 2" xfId="1853"/>
    <cellStyle name="输出 2 2" xfId="1854"/>
    <cellStyle name="输出 2 2 2" xfId="1855"/>
    <cellStyle name="输出 2 3" xfId="1856"/>
    <cellStyle name="输出 3" xfId="1857"/>
    <cellStyle name="输出 3 2" xfId="1858"/>
    <cellStyle name="输出 3 2 2" xfId="1859"/>
    <cellStyle name="输出 3 3" xfId="1860"/>
    <cellStyle name="输出 4" xfId="1861"/>
    <cellStyle name="输出 4 2" xfId="1862"/>
    <cellStyle name="输出 4 2 2" xfId="1863"/>
    <cellStyle name="输出 4 3" xfId="1864"/>
    <cellStyle name="输出 5" xfId="1865"/>
    <cellStyle name="输出 5 2" xfId="1866"/>
    <cellStyle name="输出 6" xfId="1867"/>
    <cellStyle name="输出 6 2" xfId="1868"/>
    <cellStyle name="输出 7" xfId="1869"/>
    <cellStyle name="输出 7 2" xfId="1870"/>
    <cellStyle name="输入 2" xfId="1871"/>
    <cellStyle name="输入 2 2" xfId="1872"/>
    <cellStyle name="输入 2 2 2" xfId="1873"/>
    <cellStyle name="输入 2 3" xfId="1874"/>
    <cellStyle name="输入 3" xfId="1875"/>
    <cellStyle name="输入 3 2" xfId="1876"/>
    <cellStyle name="输入 3 2 2" xfId="1877"/>
    <cellStyle name="输入 3 3" xfId="1878"/>
    <cellStyle name="输入 4" xfId="1879"/>
    <cellStyle name="输入 4 2" xfId="1880"/>
    <cellStyle name="输入 4 2 2" xfId="1881"/>
    <cellStyle name="输入 4 3" xfId="1882"/>
    <cellStyle name="输入 5" xfId="1883"/>
    <cellStyle name="输入 5 2" xfId="1884"/>
    <cellStyle name="输入 6" xfId="1885"/>
    <cellStyle name="输入 6 2" xfId="1886"/>
    <cellStyle name="输入 7" xfId="1887"/>
    <cellStyle name="输入 7 2" xfId="1888"/>
    <cellStyle name="说明文本" xfId="1889"/>
    <cellStyle name="说明文本 2" xfId="1890"/>
    <cellStyle name="说明文本 2 2" xfId="1891"/>
    <cellStyle name="说明文本 2 2 2" xfId="1892"/>
    <cellStyle name="说明文本 2 3" xfId="1893"/>
    <cellStyle name="说明文本 3" xfId="1894"/>
    <cellStyle name="说明文本 3 2" xfId="1895"/>
    <cellStyle name="说明文本 4" xfId="1896"/>
    <cellStyle name="说明文本 4 2" xfId="1897"/>
    <cellStyle name="说明文本 5" xfId="1898"/>
    <cellStyle name="无色" xfId="1899"/>
    <cellStyle name="无色 2" xfId="1900"/>
    <cellStyle name="无色 2 2" xfId="1901"/>
    <cellStyle name="无色 2 2 2" xfId="1902"/>
    <cellStyle name="无色 2 3" xfId="1903"/>
    <cellStyle name="无色 3" xfId="1904"/>
    <cellStyle name="无色 3 2" xfId="1905"/>
    <cellStyle name="无色 4" xfId="1906"/>
    <cellStyle name="无色 4 2" xfId="1907"/>
    <cellStyle name="无色 5" xfId="1908"/>
    <cellStyle name="样式 1" xfId="1909"/>
    <cellStyle name="着色 1 2" xfId="1910"/>
    <cellStyle name="着色 1 2 2" xfId="1911"/>
    <cellStyle name="着色 1 2 2 2" xfId="1912"/>
    <cellStyle name="着色 1 2 3" xfId="1913"/>
    <cellStyle name="着色 1 3" xfId="1914"/>
    <cellStyle name="着色 1 3 2" xfId="1915"/>
    <cellStyle name="着色 1 4" xfId="1916"/>
    <cellStyle name="着色 1 4 2" xfId="1917"/>
    <cellStyle name="着色 1 5" xfId="1918"/>
    <cellStyle name="着色 2 2" xfId="1919"/>
    <cellStyle name="着色 2 2 2" xfId="1920"/>
    <cellStyle name="着色 2 2 2 2" xfId="1921"/>
    <cellStyle name="着色 2 2 3" xfId="1922"/>
    <cellStyle name="着色 2 3" xfId="1923"/>
    <cellStyle name="着色 2 3 2" xfId="1924"/>
    <cellStyle name="着色 2 4" xfId="1925"/>
    <cellStyle name="着色 2 4 2" xfId="1926"/>
    <cellStyle name="着色 2 5" xfId="1927"/>
    <cellStyle name="着色 3 2" xfId="1928"/>
    <cellStyle name="着色 3 2 2" xfId="1929"/>
    <cellStyle name="着色 3 2 2 2" xfId="1930"/>
    <cellStyle name="着色 3 2 3" xfId="1931"/>
    <cellStyle name="着色 3 3" xfId="1932"/>
    <cellStyle name="着色 3 3 2" xfId="1933"/>
    <cellStyle name="着色 3 4" xfId="1934"/>
    <cellStyle name="着色 3 4 2" xfId="1935"/>
    <cellStyle name="着色 3 5" xfId="1936"/>
    <cellStyle name="着色 4 2" xfId="1937"/>
    <cellStyle name="着色 4 2 2" xfId="1938"/>
    <cellStyle name="着色 4 2 2 2" xfId="1939"/>
    <cellStyle name="着色 4 2 3" xfId="1940"/>
    <cellStyle name="着色 4 3" xfId="1941"/>
    <cellStyle name="着色 4 3 2" xfId="1942"/>
    <cellStyle name="着色 4 4" xfId="1943"/>
    <cellStyle name="着色 4 4 2" xfId="1944"/>
    <cellStyle name="着色 4 5" xfId="1945"/>
    <cellStyle name="着色 5 2" xfId="1946"/>
    <cellStyle name="着色 5 2 2" xfId="1947"/>
    <cellStyle name="着色 5 2 2 2" xfId="1948"/>
    <cellStyle name="着色 5 2 3" xfId="1949"/>
    <cellStyle name="着色 5 3" xfId="1950"/>
    <cellStyle name="着色 5 3 2" xfId="1951"/>
    <cellStyle name="着色 5 4" xfId="1952"/>
    <cellStyle name="着色 5 4 2" xfId="1953"/>
    <cellStyle name="着色 5 5" xfId="1954"/>
    <cellStyle name="着色 6 2" xfId="1955"/>
    <cellStyle name="着色 6 2 2" xfId="1956"/>
    <cellStyle name="着色 6 2 2 2" xfId="1957"/>
    <cellStyle name="着色 6 2 3" xfId="1958"/>
    <cellStyle name="着色 6 3" xfId="1959"/>
    <cellStyle name="着色 6 3 2" xfId="1960"/>
    <cellStyle name="着色 6 4" xfId="1961"/>
    <cellStyle name="着色 6 4 2" xfId="1962"/>
    <cellStyle name="着色 6 5" xfId="1963"/>
    <cellStyle name="注释 2" xfId="1964"/>
    <cellStyle name="注释 2 2" xfId="1965"/>
    <cellStyle name="注释 2 2 2" xfId="1966"/>
    <cellStyle name="注释 2 2 2 2" xfId="1967"/>
    <cellStyle name="注释 2 2 3" xfId="1968"/>
    <cellStyle name="注释 2 3" xfId="1969"/>
    <cellStyle name="注释 2 3 2" xfId="1970"/>
    <cellStyle name="注释 2 4" xfId="1971"/>
    <cellStyle name="注释 3" xfId="1972"/>
    <cellStyle name="注释 3 2" xfId="1973"/>
    <cellStyle name="注释 3 2 2" xfId="1974"/>
    <cellStyle name="注释 3 2 2 2" xfId="1975"/>
    <cellStyle name="注释 3 2 3" xfId="1976"/>
    <cellStyle name="注释 3 3" xfId="1977"/>
    <cellStyle name="注释 3 3 2" xfId="1978"/>
    <cellStyle name="注释 3 4" xfId="1979"/>
    <cellStyle name="注释 4" xfId="1980"/>
    <cellStyle name="注释 4 2" xfId="1981"/>
    <cellStyle name="注释 4 2 2" xfId="1982"/>
    <cellStyle name="注释 4 2 2 2" xfId="1983"/>
    <cellStyle name="注释 4 2 3" xfId="1984"/>
    <cellStyle name="注释 4 3" xfId="1985"/>
    <cellStyle name="注释 4 3 2" xfId="1986"/>
    <cellStyle name="注释 4 4" xfId="1987"/>
    <cellStyle name="注释 5" xfId="1988"/>
    <cellStyle name="注释 5 2" xfId="1989"/>
    <cellStyle name="注释 5 2 2" xfId="1990"/>
    <cellStyle name="注释 5 3" xfId="1991"/>
    <cellStyle name="注释 6" xfId="1992"/>
    <cellStyle name="注释 6 2" xfId="1993"/>
    <cellStyle name="注释 6 2 2" xfId="1994"/>
    <cellStyle name="注释 6 3" xfId="1995"/>
    <cellStyle name="注释 7" xfId="1996"/>
    <cellStyle name="注释 7 2" xfId="1997"/>
    <cellStyle name="注释 7 2 2" xfId="1998"/>
    <cellStyle name="注释 7 3" xfId="1999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externalLink" Target="externalLinks/externalLink1.xml"/><Relationship Id="rId30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nts\Downloads\&#24050;&#23457;&#39067;&#26725;2023&#24180;&#39044;&#31639;&#34920;&#24335;+(1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eng/Desktop/&#38215;&#31649;&#23398;&#26657;&#28165;&#21333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绩效测算"/>
      <sheetName val="民办小区生补贴"/>
      <sheetName val="民办小区生补贴（街道）"/>
      <sheetName val="民办学校生均经费"/>
      <sheetName val="民办学校生均经费（街道）"/>
      <sheetName val="民办高中学费"/>
      <sheetName val="民办高中学费（街道）"/>
      <sheetName val="2023年基本支出预算表"/>
      <sheetName val="生均公用定额标准"/>
      <sheetName val="其他定额标准"/>
      <sheetName val="明细"/>
      <sheetName val="汇总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>
        <row r="20">
          <cell r="C20">
            <v>3405</v>
          </cell>
        </row>
        <row r="21">
          <cell r="C21">
            <v>689</v>
          </cell>
        </row>
        <row r="22">
          <cell r="C22">
            <v>454</v>
          </cell>
        </row>
        <row r="23">
          <cell r="C23">
            <v>681</v>
          </cell>
        </row>
        <row r="24">
          <cell r="C24">
            <v>507</v>
          </cell>
        </row>
        <row r="25">
          <cell r="C25">
            <v>513</v>
          </cell>
        </row>
        <row r="26">
          <cell r="C26">
            <v>466</v>
          </cell>
        </row>
        <row r="28">
          <cell r="C28">
            <v>984</v>
          </cell>
        </row>
        <row r="29">
          <cell r="C29">
            <v>164</v>
          </cell>
        </row>
        <row r="46">
          <cell r="E46">
            <v>943</v>
          </cell>
        </row>
        <row r="47">
          <cell r="E47">
            <v>634</v>
          </cell>
        </row>
      </sheetData>
      <sheetData sheetId="9" refreshError="1"/>
      <sheetData sheetId="10"/>
      <sheetData sheetId="1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018镇学校基本情况"/>
      <sheetName val="2018学校基本情况汇总"/>
      <sheetName val="小学学生数统计"/>
      <sheetName val="中学学生数统计"/>
      <sheetName val="小学女生数"/>
      <sheetName val="幼儿园人数"/>
      <sheetName val="民办二级人数"/>
      <sheetName val="民办三级人数"/>
      <sheetName val="2017学校学生户籍情况汇总"/>
      <sheetName val="小学户籍类别"/>
      <sheetName val="中学女生数"/>
      <sheetName val="初中户籍类别"/>
      <sheetName val="高中户籍类别统计"/>
      <sheetName val="教职工数"/>
      <sheetName val="绩效非义务"/>
      <sheetName val="绩效义务"/>
      <sheetName val="2019镇管学校基本情况"/>
      <sheetName val="2020年镇管学校基本情况"/>
      <sheetName val="2021年镇管学校基本情况"/>
      <sheetName val="2022年镇管学校基本情况"/>
      <sheetName val="Sheet1"/>
    </sheetNames>
    <sheetDataSet>
      <sheetData sheetId="0"/>
      <sheetData sheetId="1"/>
      <sheetData sheetId="2"/>
      <sheetData sheetId="3">
        <row r="4">
          <cell r="Q4">
            <v>24</v>
          </cell>
        </row>
        <row r="5">
          <cell r="Q5">
            <v>23</v>
          </cell>
          <cell r="R5">
            <v>443</v>
          </cell>
        </row>
        <row r="58">
          <cell r="Q58">
            <v>16</v>
          </cell>
          <cell r="R58">
            <v>370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2">
          <cell r="C2">
            <v>86</v>
          </cell>
        </row>
        <row r="4">
          <cell r="C4">
            <v>89</v>
          </cell>
        </row>
        <row r="45">
          <cell r="C45">
            <v>124</v>
          </cell>
        </row>
        <row r="57">
          <cell r="C57">
            <v>76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07"/>
  <sheetViews>
    <sheetView topLeftCell="B13" workbookViewId="0">
      <selection activeCell="B50" sqref="A50:XFD50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32" width="15.625" style="1"/>
    <col min="233" max="233" width="4.625" style="1" customWidth="1"/>
    <col min="234" max="234" width="29.25" style="1" customWidth="1"/>
    <col min="235" max="235" width="13" style="1" customWidth="1"/>
    <col min="236" max="236" width="20" style="1" customWidth="1"/>
    <col min="237" max="488" width="15.625" style="1"/>
    <col min="489" max="489" width="4.625" style="1" customWidth="1"/>
    <col min="490" max="490" width="29.25" style="1" customWidth="1"/>
    <col min="491" max="491" width="13" style="1" customWidth="1"/>
    <col min="492" max="492" width="20" style="1" customWidth="1"/>
    <col min="493" max="744" width="15.625" style="1"/>
    <col min="745" max="745" width="4.625" style="1" customWidth="1"/>
    <col min="746" max="746" width="29.25" style="1" customWidth="1"/>
    <col min="747" max="747" width="13" style="1" customWidth="1"/>
    <col min="748" max="748" width="20" style="1" customWidth="1"/>
    <col min="749" max="1000" width="15.625" style="1"/>
    <col min="1001" max="1001" width="4.625" style="1" customWidth="1"/>
    <col min="1002" max="1002" width="29.25" style="1" customWidth="1"/>
    <col min="1003" max="1003" width="13" style="1" customWidth="1"/>
    <col min="1004" max="1004" width="20" style="1" customWidth="1"/>
    <col min="1005" max="1256" width="15.625" style="1"/>
    <col min="1257" max="1257" width="4.625" style="1" customWidth="1"/>
    <col min="1258" max="1258" width="29.25" style="1" customWidth="1"/>
    <col min="1259" max="1259" width="13" style="1" customWidth="1"/>
    <col min="1260" max="1260" width="20" style="1" customWidth="1"/>
    <col min="1261" max="1512" width="15.625" style="1"/>
    <col min="1513" max="1513" width="4.625" style="1" customWidth="1"/>
    <col min="1514" max="1514" width="29.25" style="1" customWidth="1"/>
    <col min="1515" max="1515" width="13" style="1" customWidth="1"/>
    <col min="1516" max="1516" width="20" style="1" customWidth="1"/>
    <col min="1517" max="1768" width="15.625" style="1"/>
    <col min="1769" max="1769" width="4.625" style="1" customWidth="1"/>
    <col min="1770" max="1770" width="29.25" style="1" customWidth="1"/>
    <col min="1771" max="1771" width="13" style="1" customWidth="1"/>
    <col min="1772" max="1772" width="20" style="1" customWidth="1"/>
    <col min="1773" max="2024" width="15.625" style="1"/>
    <col min="2025" max="2025" width="4.625" style="1" customWidth="1"/>
    <col min="2026" max="2026" width="29.25" style="1" customWidth="1"/>
    <col min="2027" max="2027" width="13" style="1" customWidth="1"/>
    <col min="2028" max="2028" width="20" style="1" customWidth="1"/>
    <col min="2029" max="2280" width="15.625" style="1"/>
    <col min="2281" max="2281" width="4.625" style="1" customWidth="1"/>
    <col min="2282" max="2282" width="29.25" style="1" customWidth="1"/>
    <col min="2283" max="2283" width="13" style="1" customWidth="1"/>
    <col min="2284" max="2284" width="20" style="1" customWidth="1"/>
    <col min="2285" max="2536" width="15.625" style="1"/>
    <col min="2537" max="2537" width="4.625" style="1" customWidth="1"/>
    <col min="2538" max="2538" width="29.25" style="1" customWidth="1"/>
    <col min="2539" max="2539" width="13" style="1" customWidth="1"/>
    <col min="2540" max="2540" width="20" style="1" customWidth="1"/>
    <col min="2541" max="2792" width="15.625" style="1"/>
    <col min="2793" max="2793" width="4.625" style="1" customWidth="1"/>
    <col min="2794" max="2794" width="29.25" style="1" customWidth="1"/>
    <col min="2795" max="2795" width="13" style="1" customWidth="1"/>
    <col min="2796" max="2796" width="20" style="1" customWidth="1"/>
    <col min="2797" max="3048" width="15.625" style="1"/>
    <col min="3049" max="3049" width="4.625" style="1" customWidth="1"/>
    <col min="3050" max="3050" width="29.25" style="1" customWidth="1"/>
    <col min="3051" max="3051" width="13" style="1" customWidth="1"/>
    <col min="3052" max="3052" width="20" style="1" customWidth="1"/>
    <col min="3053" max="3304" width="15.625" style="1"/>
    <col min="3305" max="3305" width="4.625" style="1" customWidth="1"/>
    <col min="3306" max="3306" width="29.25" style="1" customWidth="1"/>
    <col min="3307" max="3307" width="13" style="1" customWidth="1"/>
    <col min="3308" max="3308" width="20" style="1" customWidth="1"/>
    <col min="3309" max="3560" width="15.625" style="1"/>
    <col min="3561" max="3561" width="4.625" style="1" customWidth="1"/>
    <col min="3562" max="3562" width="29.25" style="1" customWidth="1"/>
    <col min="3563" max="3563" width="13" style="1" customWidth="1"/>
    <col min="3564" max="3564" width="20" style="1" customWidth="1"/>
    <col min="3565" max="3816" width="15.625" style="1"/>
    <col min="3817" max="3817" width="4.625" style="1" customWidth="1"/>
    <col min="3818" max="3818" width="29.25" style="1" customWidth="1"/>
    <col min="3819" max="3819" width="13" style="1" customWidth="1"/>
    <col min="3820" max="3820" width="20" style="1" customWidth="1"/>
    <col min="3821" max="4072" width="15.625" style="1"/>
    <col min="4073" max="4073" width="4.625" style="1" customWidth="1"/>
    <col min="4074" max="4074" width="29.25" style="1" customWidth="1"/>
    <col min="4075" max="4075" width="13" style="1" customWidth="1"/>
    <col min="4076" max="4076" width="20" style="1" customWidth="1"/>
    <col min="4077" max="4328" width="15.625" style="1"/>
    <col min="4329" max="4329" width="4.625" style="1" customWidth="1"/>
    <col min="4330" max="4330" width="29.25" style="1" customWidth="1"/>
    <col min="4331" max="4331" width="13" style="1" customWidth="1"/>
    <col min="4332" max="4332" width="20" style="1" customWidth="1"/>
    <col min="4333" max="4584" width="15.625" style="1"/>
    <col min="4585" max="4585" width="4.625" style="1" customWidth="1"/>
    <col min="4586" max="4586" width="29.25" style="1" customWidth="1"/>
    <col min="4587" max="4587" width="13" style="1" customWidth="1"/>
    <col min="4588" max="4588" width="20" style="1" customWidth="1"/>
    <col min="4589" max="4840" width="15.625" style="1"/>
    <col min="4841" max="4841" width="4.625" style="1" customWidth="1"/>
    <col min="4842" max="4842" width="29.25" style="1" customWidth="1"/>
    <col min="4843" max="4843" width="13" style="1" customWidth="1"/>
    <col min="4844" max="4844" width="20" style="1" customWidth="1"/>
    <col min="4845" max="5096" width="15.625" style="1"/>
    <col min="5097" max="5097" width="4.625" style="1" customWidth="1"/>
    <col min="5098" max="5098" width="29.25" style="1" customWidth="1"/>
    <col min="5099" max="5099" width="13" style="1" customWidth="1"/>
    <col min="5100" max="5100" width="20" style="1" customWidth="1"/>
    <col min="5101" max="5352" width="15.625" style="1"/>
    <col min="5353" max="5353" width="4.625" style="1" customWidth="1"/>
    <col min="5354" max="5354" width="29.25" style="1" customWidth="1"/>
    <col min="5355" max="5355" width="13" style="1" customWidth="1"/>
    <col min="5356" max="5356" width="20" style="1" customWidth="1"/>
    <col min="5357" max="5608" width="15.625" style="1"/>
    <col min="5609" max="5609" width="4.625" style="1" customWidth="1"/>
    <col min="5610" max="5610" width="29.25" style="1" customWidth="1"/>
    <col min="5611" max="5611" width="13" style="1" customWidth="1"/>
    <col min="5612" max="5612" width="20" style="1" customWidth="1"/>
    <col min="5613" max="5864" width="15.625" style="1"/>
    <col min="5865" max="5865" width="4.625" style="1" customWidth="1"/>
    <col min="5866" max="5866" width="29.25" style="1" customWidth="1"/>
    <col min="5867" max="5867" width="13" style="1" customWidth="1"/>
    <col min="5868" max="5868" width="20" style="1" customWidth="1"/>
    <col min="5869" max="6120" width="15.625" style="1"/>
    <col min="6121" max="6121" width="4.625" style="1" customWidth="1"/>
    <col min="6122" max="6122" width="29.25" style="1" customWidth="1"/>
    <col min="6123" max="6123" width="13" style="1" customWidth="1"/>
    <col min="6124" max="6124" width="20" style="1" customWidth="1"/>
    <col min="6125" max="6376" width="15.625" style="1"/>
    <col min="6377" max="6377" width="4.625" style="1" customWidth="1"/>
    <col min="6378" max="6378" width="29.25" style="1" customWidth="1"/>
    <col min="6379" max="6379" width="13" style="1" customWidth="1"/>
    <col min="6380" max="6380" width="20" style="1" customWidth="1"/>
    <col min="6381" max="6632" width="15.625" style="1"/>
    <col min="6633" max="6633" width="4.625" style="1" customWidth="1"/>
    <col min="6634" max="6634" width="29.25" style="1" customWidth="1"/>
    <col min="6635" max="6635" width="13" style="1" customWidth="1"/>
    <col min="6636" max="6636" width="20" style="1" customWidth="1"/>
    <col min="6637" max="6888" width="15.625" style="1"/>
    <col min="6889" max="6889" width="4.625" style="1" customWidth="1"/>
    <col min="6890" max="6890" width="29.25" style="1" customWidth="1"/>
    <col min="6891" max="6891" width="13" style="1" customWidth="1"/>
    <col min="6892" max="6892" width="20" style="1" customWidth="1"/>
    <col min="6893" max="7144" width="15.625" style="1"/>
    <col min="7145" max="7145" width="4.625" style="1" customWidth="1"/>
    <col min="7146" max="7146" width="29.25" style="1" customWidth="1"/>
    <col min="7147" max="7147" width="13" style="1" customWidth="1"/>
    <col min="7148" max="7148" width="20" style="1" customWidth="1"/>
    <col min="7149" max="7400" width="15.625" style="1"/>
    <col min="7401" max="7401" width="4.625" style="1" customWidth="1"/>
    <col min="7402" max="7402" width="29.25" style="1" customWidth="1"/>
    <col min="7403" max="7403" width="13" style="1" customWidth="1"/>
    <col min="7404" max="7404" width="20" style="1" customWidth="1"/>
    <col min="7405" max="7656" width="15.625" style="1"/>
    <col min="7657" max="7657" width="4.625" style="1" customWidth="1"/>
    <col min="7658" max="7658" width="29.25" style="1" customWidth="1"/>
    <col min="7659" max="7659" width="13" style="1" customWidth="1"/>
    <col min="7660" max="7660" width="20" style="1" customWidth="1"/>
    <col min="7661" max="7912" width="15.625" style="1"/>
    <col min="7913" max="7913" width="4.625" style="1" customWidth="1"/>
    <col min="7914" max="7914" width="29.25" style="1" customWidth="1"/>
    <col min="7915" max="7915" width="13" style="1" customWidth="1"/>
    <col min="7916" max="7916" width="20" style="1" customWidth="1"/>
    <col min="7917" max="8168" width="15.625" style="1"/>
    <col min="8169" max="8169" width="4.625" style="1" customWidth="1"/>
    <col min="8170" max="8170" width="29.25" style="1" customWidth="1"/>
    <col min="8171" max="8171" width="13" style="1" customWidth="1"/>
    <col min="8172" max="8172" width="20" style="1" customWidth="1"/>
    <col min="8173" max="8424" width="15.625" style="1"/>
    <col min="8425" max="8425" width="4.625" style="1" customWidth="1"/>
    <col min="8426" max="8426" width="29.25" style="1" customWidth="1"/>
    <col min="8427" max="8427" width="13" style="1" customWidth="1"/>
    <col min="8428" max="8428" width="20" style="1" customWidth="1"/>
    <col min="8429" max="8680" width="15.625" style="1"/>
    <col min="8681" max="8681" width="4.625" style="1" customWidth="1"/>
    <col min="8682" max="8682" width="29.25" style="1" customWidth="1"/>
    <col min="8683" max="8683" width="13" style="1" customWidth="1"/>
    <col min="8684" max="8684" width="20" style="1" customWidth="1"/>
    <col min="8685" max="8936" width="15.625" style="1"/>
    <col min="8937" max="8937" width="4.625" style="1" customWidth="1"/>
    <col min="8938" max="8938" width="29.25" style="1" customWidth="1"/>
    <col min="8939" max="8939" width="13" style="1" customWidth="1"/>
    <col min="8940" max="8940" width="20" style="1" customWidth="1"/>
    <col min="8941" max="9192" width="15.625" style="1"/>
    <col min="9193" max="9193" width="4.625" style="1" customWidth="1"/>
    <col min="9194" max="9194" width="29.25" style="1" customWidth="1"/>
    <col min="9195" max="9195" width="13" style="1" customWidth="1"/>
    <col min="9196" max="9196" width="20" style="1" customWidth="1"/>
    <col min="9197" max="9448" width="15.625" style="1"/>
    <col min="9449" max="9449" width="4.625" style="1" customWidth="1"/>
    <col min="9450" max="9450" width="29.25" style="1" customWidth="1"/>
    <col min="9451" max="9451" width="13" style="1" customWidth="1"/>
    <col min="9452" max="9452" width="20" style="1" customWidth="1"/>
    <col min="9453" max="9704" width="15.625" style="1"/>
    <col min="9705" max="9705" width="4.625" style="1" customWidth="1"/>
    <col min="9706" max="9706" width="29.25" style="1" customWidth="1"/>
    <col min="9707" max="9707" width="13" style="1" customWidth="1"/>
    <col min="9708" max="9708" width="20" style="1" customWidth="1"/>
    <col min="9709" max="9960" width="15.625" style="1"/>
    <col min="9961" max="9961" width="4.625" style="1" customWidth="1"/>
    <col min="9962" max="9962" width="29.25" style="1" customWidth="1"/>
    <col min="9963" max="9963" width="13" style="1" customWidth="1"/>
    <col min="9964" max="9964" width="20" style="1" customWidth="1"/>
    <col min="9965" max="10216" width="15.625" style="1"/>
    <col min="10217" max="10217" width="4.625" style="1" customWidth="1"/>
    <col min="10218" max="10218" width="29.25" style="1" customWidth="1"/>
    <col min="10219" max="10219" width="13" style="1" customWidth="1"/>
    <col min="10220" max="10220" width="20" style="1" customWidth="1"/>
    <col min="10221" max="10472" width="15.625" style="1"/>
    <col min="10473" max="10473" width="4.625" style="1" customWidth="1"/>
    <col min="10474" max="10474" width="29.25" style="1" customWidth="1"/>
    <col min="10475" max="10475" width="13" style="1" customWidth="1"/>
    <col min="10476" max="10476" width="20" style="1" customWidth="1"/>
    <col min="10477" max="10728" width="15.625" style="1"/>
    <col min="10729" max="10729" width="4.625" style="1" customWidth="1"/>
    <col min="10730" max="10730" width="29.25" style="1" customWidth="1"/>
    <col min="10731" max="10731" width="13" style="1" customWidth="1"/>
    <col min="10732" max="10732" width="20" style="1" customWidth="1"/>
    <col min="10733" max="10984" width="15.625" style="1"/>
    <col min="10985" max="10985" width="4.625" style="1" customWidth="1"/>
    <col min="10986" max="10986" width="29.25" style="1" customWidth="1"/>
    <col min="10987" max="10987" width="13" style="1" customWidth="1"/>
    <col min="10988" max="10988" width="20" style="1" customWidth="1"/>
    <col min="10989" max="11240" width="15.625" style="1"/>
    <col min="11241" max="11241" width="4.625" style="1" customWidth="1"/>
    <col min="11242" max="11242" width="29.25" style="1" customWidth="1"/>
    <col min="11243" max="11243" width="13" style="1" customWidth="1"/>
    <col min="11244" max="11244" width="20" style="1" customWidth="1"/>
    <col min="11245" max="11496" width="15.625" style="1"/>
    <col min="11497" max="11497" width="4.625" style="1" customWidth="1"/>
    <col min="11498" max="11498" width="29.25" style="1" customWidth="1"/>
    <col min="11499" max="11499" width="13" style="1" customWidth="1"/>
    <col min="11500" max="11500" width="20" style="1" customWidth="1"/>
    <col min="11501" max="11752" width="15.625" style="1"/>
    <col min="11753" max="11753" width="4.625" style="1" customWidth="1"/>
    <col min="11754" max="11754" width="29.25" style="1" customWidth="1"/>
    <col min="11755" max="11755" width="13" style="1" customWidth="1"/>
    <col min="11756" max="11756" width="20" style="1" customWidth="1"/>
    <col min="11757" max="12008" width="15.625" style="1"/>
    <col min="12009" max="12009" width="4.625" style="1" customWidth="1"/>
    <col min="12010" max="12010" width="29.25" style="1" customWidth="1"/>
    <col min="12011" max="12011" width="13" style="1" customWidth="1"/>
    <col min="12012" max="12012" width="20" style="1" customWidth="1"/>
    <col min="12013" max="12264" width="15.625" style="1"/>
    <col min="12265" max="12265" width="4.625" style="1" customWidth="1"/>
    <col min="12266" max="12266" width="29.25" style="1" customWidth="1"/>
    <col min="12267" max="12267" width="13" style="1" customWidth="1"/>
    <col min="12268" max="12268" width="20" style="1" customWidth="1"/>
    <col min="12269" max="12520" width="15.625" style="1"/>
    <col min="12521" max="12521" width="4.625" style="1" customWidth="1"/>
    <col min="12522" max="12522" width="29.25" style="1" customWidth="1"/>
    <col min="12523" max="12523" width="13" style="1" customWidth="1"/>
    <col min="12524" max="12524" width="20" style="1" customWidth="1"/>
    <col min="12525" max="12776" width="15.625" style="1"/>
    <col min="12777" max="12777" width="4.625" style="1" customWidth="1"/>
    <col min="12778" max="12778" width="29.25" style="1" customWidth="1"/>
    <col min="12779" max="12779" width="13" style="1" customWidth="1"/>
    <col min="12780" max="12780" width="20" style="1" customWidth="1"/>
    <col min="12781" max="13032" width="15.625" style="1"/>
    <col min="13033" max="13033" width="4.625" style="1" customWidth="1"/>
    <col min="13034" max="13034" width="29.25" style="1" customWidth="1"/>
    <col min="13035" max="13035" width="13" style="1" customWidth="1"/>
    <col min="13036" max="13036" width="20" style="1" customWidth="1"/>
    <col min="13037" max="13288" width="15.625" style="1"/>
    <col min="13289" max="13289" width="4.625" style="1" customWidth="1"/>
    <col min="13290" max="13290" width="29.25" style="1" customWidth="1"/>
    <col min="13291" max="13291" width="13" style="1" customWidth="1"/>
    <col min="13292" max="13292" width="20" style="1" customWidth="1"/>
    <col min="13293" max="13544" width="15.625" style="1"/>
    <col min="13545" max="13545" width="4.625" style="1" customWidth="1"/>
    <col min="13546" max="13546" width="29.25" style="1" customWidth="1"/>
    <col min="13547" max="13547" width="13" style="1" customWidth="1"/>
    <col min="13548" max="13548" width="20" style="1" customWidth="1"/>
    <col min="13549" max="13800" width="15.625" style="1"/>
    <col min="13801" max="13801" width="4.625" style="1" customWidth="1"/>
    <col min="13802" max="13802" width="29.25" style="1" customWidth="1"/>
    <col min="13803" max="13803" width="13" style="1" customWidth="1"/>
    <col min="13804" max="13804" width="20" style="1" customWidth="1"/>
    <col min="13805" max="14056" width="15.625" style="1"/>
    <col min="14057" max="14057" width="4.625" style="1" customWidth="1"/>
    <col min="14058" max="14058" width="29.25" style="1" customWidth="1"/>
    <col min="14059" max="14059" width="13" style="1" customWidth="1"/>
    <col min="14060" max="14060" width="20" style="1" customWidth="1"/>
    <col min="14061" max="14312" width="15.625" style="1"/>
    <col min="14313" max="14313" width="4.625" style="1" customWidth="1"/>
    <col min="14314" max="14314" width="29.25" style="1" customWidth="1"/>
    <col min="14315" max="14315" width="13" style="1" customWidth="1"/>
    <col min="14316" max="14316" width="20" style="1" customWidth="1"/>
    <col min="14317" max="14568" width="15.625" style="1"/>
    <col min="14569" max="14569" width="4.625" style="1" customWidth="1"/>
    <col min="14570" max="14570" width="29.25" style="1" customWidth="1"/>
    <col min="14571" max="14571" width="13" style="1" customWidth="1"/>
    <col min="14572" max="14572" width="20" style="1" customWidth="1"/>
    <col min="14573" max="14824" width="15.625" style="1"/>
    <col min="14825" max="14825" width="4.625" style="1" customWidth="1"/>
    <col min="14826" max="14826" width="29.25" style="1" customWidth="1"/>
    <col min="14827" max="14827" width="13" style="1" customWidth="1"/>
    <col min="14828" max="14828" width="20" style="1" customWidth="1"/>
    <col min="14829" max="15080" width="15.625" style="1"/>
    <col min="15081" max="15081" width="4.625" style="1" customWidth="1"/>
    <col min="15082" max="15082" width="29.25" style="1" customWidth="1"/>
    <col min="15083" max="15083" width="13" style="1" customWidth="1"/>
    <col min="15084" max="15084" width="20" style="1" customWidth="1"/>
    <col min="15085" max="15336" width="15.625" style="1"/>
    <col min="15337" max="15337" width="4.625" style="1" customWidth="1"/>
    <col min="15338" max="15338" width="29.25" style="1" customWidth="1"/>
    <col min="15339" max="15339" width="13" style="1" customWidth="1"/>
    <col min="15340" max="15340" width="20" style="1" customWidth="1"/>
    <col min="15341" max="15592" width="15.625" style="1"/>
    <col min="15593" max="15593" width="4.625" style="1" customWidth="1"/>
    <col min="15594" max="15594" width="29.25" style="1" customWidth="1"/>
    <col min="15595" max="15595" width="13" style="1" customWidth="1"/>
    <col min="15596" max="15596" width="20" style="1" customWidth="1"/>
    <col min="15597" max="15848" width="15.625" style="1"/>
    <col min="15849" max="15849" width="4.625" style="1" customWidth="1"/>
    <col min="15850" max="15850" width="29.25" style="1" customWidth="1"/>
    <col min="15851" max="15851" width="13" style="1" customWidth="1"/>
    <col min="15852" max="15852" width="20" style="1" customWidth="1"/>
    <col min="15853" max="16104" width="15.625" style="1"/>
    <col min="16105" max="16105" width="4.625" style="1" customWidth="1"/>
    <col min="16106" max="16106" width="29.25" style="1" customWidth="1"/>
    <col min="16107" max="16107" width="13" style="1" customWidth="1"/>
    <col min="16108" max="16108" width="20" style="1" customWidth="1"/>
    <col min="16109" max="16384" width="15.625" style="1"/>
  </cols>
  <sheetData>
    <row r="1" spans="1:14" ht="25.5">
      <c r="A1" s="331" t="s">
        <v>532</v>
      </c>
      <c r="B1" s="332"/>
      <c r="C1" s="332"/>
      <c r="D1" s="332"/>
      <c r="E1" s="333"/>
      <c r="F1" s="333"/>
      <c r="G1" s="333"/>
      <c r="H1" s="333"/>
      <c r="I1" s="333"/>
      <c r="J1" s="333"/>
      <c r="K1" s="333"/>
      <c r="L1" s="333"/>
      <c r="M1" s="333"/>
      <c r="N1" s="333"/>
    </row>
    <row r="2" spans="1:14" s="120" customFormat="1">
      <c r="A2" s="39" t="s">
        <v>1</v>
      </c>
      <c r="B2" s="39" t="s">
        <v>2</v>
      </c>
      <c r="C2" s="39" t="s">
        <v>3</v>
      </c>
      <c r="D2" s="40" t="s">
        <v>4</v>
      </c>
      <c r="E2" s="119" t="s">
        <v>527</v>
      </c>
      <c r="F2" s="119" t="s">
        <v>528</v>
      </c>
      <c r="G2" s="119" t="s">
        <v>522</v>
      </c>
      <c r="H2" s="133" t="s">
        <v>530</v>
      </c>
      <c r="I2" s="119" t="s">
        <v>526</v>
      </c>
      <c r="J2" s="119" t="s">
        <v>525</v>
      </c>
      <c r="K2" s="119" t="s">
        <v>524</v>
      </c>
      <c r="L2" s="119" t="s">
        <v>529</v>
      </c>
      <c r="M2" s="119" t="s">
        <v>523</v>
      </c>
      <c r="N2" s="119" t="s">
        <v>531</v>
      </c>
    </row>
    <row r="3" spans="1:14">
      <c r="A3" s="5" t="s">
        <v>26</v>
      </c>
      <c r="B3" s="6" t="s">
        <v>27</v>
      </c>
      <c r="C3" s="6"/>
      <c r="D3" s="7" t="s">
        <v>28</v>
      </c>
      <c r="E3" s="33">
        <v>105427471.75</v>
      </c>
      <c r="F3" s="33">
        <v>112853165.97</v>
      </c>
      <c r="G3" s="33">
        <v>687127662.75</v>
      </c>
      <c r="H3" s="136">
        <v>399611547.06</v>
      </c>
      <c r="I3" s="33">
        <v>371082571.68000001</v>
      </c>
      <c r="J3" s="33">
        <v>262385559.00999999</v>
      </c>
      <c r="K3" s="33">
        <v>237294434.16000003</v>
      </c>
      <c r="L3" s="33">
        <v>424687544.67999995</v>
      </c>
      <c r="M3" s="33">
        <v>232611647.56000003</v>
      </c>
      <c r="N3" s="33">
        <f t="shared" ref="N3:N34" si="0">SUM(E3:M3)</f>
        <v>2833081604.6199999</v>
      </c>
    </row>
    <row r="4" spans="1:14">
      <c r="A4" s="5" t="s">
        <v>29</v>
      </c>
      <c r="B4" s="6" t="s">
        <v>30</v>
      </c>
      <c r="C4" s="6"/>
      <c r="D4" s="7" t="s">
        <v>28</v>
      </c>
      <c r="E4" s="117">
        <v>91902974.090000004</v>
      </c>
      <c r="F4" s="117">
        <v>96470160.070000008</v>
      </c>
      <c r="G4" s="117">
        <v>587923694.10000002</v>
      </c>
      <c r="H4" s="134">
        <v>336111331.84000003</v>
      </c>
      <c r="I4" s="117">
        <v>319848295.49000001</v>
      </c>
      <c r="J4" s="117">
        <v>224331127.40000001</v>
      </c>
      <c r="K4" s="33">
        <v>203910305.37</v>
      </c>
      <c r="L4" s="117">
        <v>365006949.19999999</v>
      </c>
      <c r="M4" s="117">
        <v>202310128.28</v>
      </c>
      <c r="N4" s="33">
        <f t="shared" si="0"/>
        <v>2427814965.8400002</v>
      </c>
    </row>
    <row r="5" spans="1:14">
      <c r="A5" s="5" t="s">
        <v>31</v>
      </c>
      <c r="B5" s="6" t="s">
        <v>32</v>
      </c>
      <c r="C5" s="6"/>
      <c r="D5" s="7" t="s">
        <v>28</v>
      </c>
      <c r="E5" s="117">
        <v>12983015.859999999</v>
      </c>
      <c r="F5" s="117">
        <v>12801266.5</v>
      </c>
      <c r="G5" s="117">
        <v>78537845.519999981</v>
      </c>
      <c r="H5" s="134">
        <v>43754290.100000001</v>
      </c>
      <c r="I5" s="117">
        <v>42564732</v>
      </c>
      <c r="J5" s="117">
        <v>29005276.800000001</v>
      </c>
      <c r="K5" s="33">
        <v>28764432</v>
      </c>
      <c r="L5" s="117">
        <v>47913684</v>
      </c>
      <c r="M5" s="117">
        <v>28363482</v>
      </c>
      <c r="N5" s="33">
        <f t="shared" si="0"/>
        <v>324688024.77999997</v>
      </c>
    </row>
    <row r="6" spans="1:14">
      <c r="A6" s="5" t="s">
        <v>33</v>
      </c>
      <c r="B6" s="6" t="s">
        <v>34</v>
      </c>
      <c r="C6" s="6" t="s">
        <v>35</v>
      </c>
      <c r="D6" s="7" t="s">
        <v>36</v>
      </c>
      <c r="E6" s="117">
        <v>7284187.8600000003</v>
      </c>
      <c r="F6" s="117">
        <v>7385504.7999999998</v>
      </c>
      <c r="G6" s="117">
        <v>45614512.879999988</v>
      </c>
      <c r="H6" s="134">
        <v>26595106</v>
      </c>
      <c r="I6" s="117">
        <v>24654936</v>
      </c>
      <c r="J6" s="117">
        <v>17038447.199999999</v>
      </c>
      <c r="K6" s="33">
        <v>15835332</v>
      </c>
      <c r="L6" s="117">
        <v>28279932</v>
      </c>
      <c r="M6" s="117">
        <v>15901310</v>
      </c>
      <c r="N6" s="33">
        <f t="shared" si="0"/>
        <v>188589268.74000001</v>
      </c>
    </row>
    <row r="7" spans="1:14">
      <c r="A7" s="5" t="s">
        <v>37</v>
      </c>
      <c r="B7" s="6" t="s">
        <v>38</v>
      </c>
      <c r="C7" s="6" t="s">
        <v>35</v>
      </c>
      <c r="D7" s="7" t="s">
        <v>36</v>
      </c>
      <c r="E7" s="117">
        <v>5698828</v>
      </c>
      <c r="F7" s="117">
        <v>5415761.7000000002</v>
      </c>
      <c r="G7" s="117">
        <v>32923332.640000001</v>
      </c>
      <c r="H7" s="134">
        <v>17159184.100000001</v>
      </c>
      <c r="I7" s="117">
        <v>17909796</v>
      </c>
      <c r="J7" s="117">
        <v>11966829.6</v>
      </c>
      <c r="K7" s="33">
        <v>12929100</v>
      </c>
      <c r="L7" s="117">
        <v>19633752</v>
      </c>
      <c r="M7" s="117">
        <v>12462172</v>
      </c>
      <c r="N7" s="33">
        <f t="shared" si="0"/>
        <v>136098756.03999999</v>
      </c>
    </row>
    <row r="8" spans="1:14">
      <c r="A8" s="5" t="s">
        <v>39</v>
      </c>
      <c r="B8" s="6" t="s">
        <v>40</v>
      </c>
      <c r="C8" s="6"/>
      <c r="D8" s="7" t="s">
        <v>28</v>
      </c>
      <c r="E8" s="117">
        <v>1463153</v>
      </c>
      <c r="F8" s="117">
        <v>1528580</v>
      </c>
      <c r="G8" s="117">
        <v>9166284</v>
      </c>
      <c r="H8" s="134">
        <v>5442235.5499999998</v>
      </c>
      <c r="I8" s="117">
        <v>5084923.8</v>
      </c>
      <c r="J8" s="117">
        <v>3536832</v>
      </c>
      <c r="K8" s="33">
        <v>3156750</v>
      </c>
      <c r="L8" s="117">
        <v>5717496</v>
      </c>
      <c r="M8" s="117">
        <v>3174010</v>
      </c>
      <c r="N8" s="33">
        <f t="shared" si="0"/>
        <v>38270264.350000001</v>
      </c>
    </row>
    <row r="9" spans="1:14">
      <c r="A9" s="5" t="s">
        <v>41</v>
      </c>
      <c r="B9" s="6" t="s">
        <v>42</v>
      </c>
      <c r="C9" s="6" t="s">
        <v>35</v>
      </c>
      <c r="D9" s="7" t="s">
        <v>36</v>
      </c>
      <c r="E9" s="117">
        <v>32273</v>
      </c>
      <c r="F9" s="117">
        <v>29060</v>
      </c>
      <c r="G9" s="117">
        <v>111084</v>
      </c>
      <c r="H9" s="134">
        <v>98875.55</v>
      </c>
      <c r="I9" s="117">
        <v>74203.8</v>
      </c>
      <c r="J9" s="117">
        <v>41472</v>
      </c>
      <c r="K9" s="33">
        <v>57390</v>
      </c>
      <c r="L9" s="117">
        <v>62616</v>
      </c>
      <c r="M9" s="117">
        <v>42970</v>
      </c>
      <c r="N9" s="33">
        <f t="shared" si="0"/>
        <v>549944.35</v>
      </c>
    </row>
    <row r="10" spans="1:14">
      <c r="A10" s="5" t="s">
        <v>43</v>
      </c>
      <c r="B10" s="6" t="s">
        <v>44</v>
      </c>
      <c r="C10" s="6"/>
      <c r="D10" s="7" t="s">
        <v>28</v>
      </c>
      <c r="E10" s="117">
        <v>1430880</v>
      </c>
      <c r="F10" s="117">
        <v>1499520</v>
      </c>
      <c r="G10" s="117">
        <v>9055200</v>
      </c>
      <c r="H10" s="134">
        <v>5343360</v>
      </c>
      <c r="I10" s="117">
        <v>5010720</v>
      </c>
      <c r="J10" s="117">
        <v>3495360</v>
      </c>
      <c r="K10" s="33">
        <v>3099360</v>
      </c>
      <c r="L10" s="117">
        <v>5654880</v>
      </c>
      <c r="M10" s="117">
        <v>3131040</v>
      </c>
      <c r="N10" s="33">
        <f t="shared" si="0"/>
        <v>37720320</v>
      </c>
    </row>
    <row r="11" spans="1:14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118">
        <v>1430880</v>
      </c>
      <c r="F11" s="118">
        <v>1499520</v>
      </c>
      <c r="G11" s="118">
        <v>9055200</v>
      </c>
      <c r="H11" s="135">
        <v>5343360</v>
      </c>
      <c r="I11" s="118">
        <v>5010720</v>
      </c>
      <c r="J11" s="118">
        <v>3495360</v>
      </c>
      <c r="K11" s="122">
        <v>3099360</v>
      </c>
      <c r="L11" s="118">
        <v>5654880</v>
      </c>
      <c r="M11" s="118">
        <v>3131040</v>
      </c>
      <c r="N11" s="33">
        <f t="shared" si="0"/>
        <v>37720320</v>
      </c>
    </row>
    <row r="12" spans="1:14">
      <c r="A12" s="5" t="s">
        <v>47</v>
      </c>
      <c r="B12" s="6" t="s">
        <v>48</v>
      </c>
      <c r="C12" s="6"/>
      <c r="D12" s="7" t="s">
        <v>49</v>
      </c>
      <c r="E12" s="117">
        <v>431916.73</v>
      </c>
      <c r="F12" s="117">
        <v>454168.98</v>
      </c>
      <c r="G12" s="117">
        <v>2750972.54</v>
      </c>
      <c r="H12" s="134">
        <v>1511387.2100000002</v>
      </c>
      <c r="I12" s="117">
        <v>1479023.7200000002</v>
      </c>
      <c r="J12" s="117">
        <v>1053812.57</v>
      </c>
      <c r="K12" s="33">
        <v>964593.3600000001</v>
      </c>
      <c r="L12" s="117">
        <v>1700357.19</v>
      </c>
      <c r="M12" s="117">
        <v>929727.28000000014</v>
      </c>
      <c r="N12" s="33">
        <f t="shared" si="0"/>
        <v>11275959.579999998</v>
      </c>
    </row>
    <row r="13" spans="1:14" s="13" customFormat="1">
      <c r="A13" s="5" t="s">
        <v>50</v>
      </c>
      <c r="B13" s="49" t="s">
        <v>586</v>
      </c>
      <c r="C13" s="12" t="s">
        <v>35</v>
      </c>
      <c r="D13" s="9" t="s">
        <v>51</v>
      </c>
      <c r="E13" s="118">
        <v>146257.51</v>
      </c>
      <c r="F13" s="118">
        <v>153792.66999999998</v>
      </c>
      <c r="G13" s="118">
        <v>931546.2799999998</v>
      </c>
      <c r="H13" s="135">
        <v>511792.49</v>
      </c>
      <c r="I13" s="118">
        <v>500833.40999999992</v>
      </c>
      <c r="J13" s="118">
        <v>356846.58</v>
      </c>
      <c r="K13" s="122">
        <v>326634.78999999998</v>
      </c>
      <c r="L13" s="118">
        <v>575782.34</v>
      </c>
      <c r="M13" s="118">
        <v>314828.27999999997</v>
      </c>
      <c r="N13" s="33">
        <f t="shared" si="0"/>
        <v>3818314.3499999992</v>
      </c>
    </row>
    <row r="14" spans="1:14" s="13" customFormat="1">
      <c r="A14" s="5" t="s">
        <v>52</v>
      </c>
      <c r="B14" s="49" t="s">
        <v>587</v>
      </c>
      <c r="C14" s="12" t="s">
        <v>35</v>
      </c>
      <c r="D14" s="9" t="s">
        <v>51</v>
      </c>
      <c r="E14" s="118">
        <v>285659.22000000003</v>
      </c>
      <c r="F14" s="118">
        <v>300376.31</v>
      </c>
      <c r="G14" s="118">
        <v>1819426.26</v>
      </c>
      <c r="H14" s="135">
        <v>999594.72</v>
      </c>
      <c r="I14" s="118">
        <v>978190.31000000017</v>
      </c>
      <c r="J14" s="118">
        <v>696965.98999999987</v>
      </c>
      <c r="K14" s="122">
        <v>637958.56999999995</v>
      </c>
      <c r="L14" s="118">
        <v>1124574.8500000001</v>
      </c>
      <c r="M14" s="118">
        <v>614899</v>
      </c>
      <c r="N14" s="33">
        <f t="shared" si="0"/>
        <v>7457645.2300000004</v>
      </c>
    </row>
    <row r="15" spans="1:14">
      <c r="A15" s="5" t="s">
        <v>53</v>
      </c>
      <c r="B15" s="6" t="s">
        <v>55</v>
      </c>
      <c r="C15" s="6"/>
      <c r="D15" s="7" t="s">
        <v>28</v>
      </c>
      <c r="E15" s="117">
        <v>49403900</v>
      </c>
      <c r="F15" s="117">
        <v>52647900</v>
      </c>
      <c r="G15" s="117">
        <v>321610800</v>
      </c>
      <c r="H15" s="134">
        <v>188368300</v>
      </c>
      <c r="I15" s="117">
        <v>176010300</v>
      </c>
      <c r="J15" s="117">
        <v>123339300</v>
      </c>
      <c r="K15" s="33">
        <v>109448300</v>
      </c>
      <c r="L15" s="117">
        <v>200913100</v>
      </c>
      <c r="M15" s="117">
        <v>110329100</v>
      </c>
      <c r="N15" s="33">
        <f t="shared" si="0"/>
        <v>1332071000</v>
      </c>
    </row>
    <row r="16" spans="1:14" ht="22.5">
      <c r="A16" s="5" t="s">
        <v>54</v>
      </c>
      <c r="B16" s="14" t="s">
        <v>57</v>
      </c>
      <c r="C16" s="14" t="s">
        <v>35</v>
      </c>
      <c r="D16" s="15" t="s">
        <v>58</v>
      </c>
      <c r="E16" s="117">
        <v>48279064</v>
      </c>
      <c r="F16" s="117">
        <v>51001272.799999997</v>
      </c>
      <c r="G16" s="117">
        <v>316915964</v>
      </c>
      <c r="H16" s="134">
        <v>184483727</v>
      </c>
      <c r="I16" s="117">
        <v>172255776</v>
      </c>
      <c r="J16" s="117">
        <v>121269572</v>
      </c>
      <c r="K16" s="33">
        <v>107522980</v>
      </c>
      <c r="L16" s="117">
        <v>197392504</v>
      </c>
      <c r="M16" s="117">
        <v>108028913</v>
      </c>
      <c r="N16" s="33">
        <f t="shared" si="0"/>
        <v>1307149772.8</v>
      </c>
    </row>
    <row r="17" spans="1:14">
      <c r="A17" s="5" t="s">
        <v>56</v>
      </c>
      <c r="B17" s="14" t="s">
        <v>60</v>
      </c>
      <c r="C17" s="14" t="s">
        <v>35</v>
      </c>
      <c r="D17" s="15" t="s">
        <v>61</v>
      </c>
      <c r="E17" s="117">
        <v>1124836</v>
      </c>
      <c r="F17" s="117">
        <v>1646627.2</v>
      </c>
      <c r="G17" s="117">
        <v>4694836</v>
      </c>
      <c r="H17" s="134">
        <v>3884573</v>
      </c>
      <c r="I17" s="117">
        <v>3754524</v>
      </c>
      <c r="J17" s="117">
        <v>2069728</v>
      </c>
      <c r="K17" s="33">
        <v>1925320</v>
      </c>
      <c r="L17" s="117">
        <v>3520596</v>
      </c>
      <c r="M17" s="117">
        <v>2300187</v>
      </c>
      <c r="N17" s="33">
        <f t="shared" si="0"/>
        <v>24921227.199999999</v>
      </c>
    </row>
    <row r="18" spans="1:14">
      <c r="A18" s="5" t="s">
        <v>59</v>
      </c>
      <c r="B18" s="6" t="s">
        <v>63</v>
      </c>
      <c r="C18" s="6"/>
      <c r="D18" s="15" t="s">
        <v>28</v>
      </c>
      <c r="E18" s="117">
        <v>5998843.5</v>
      </c>
      <c r="F18" s="117">
        <v>6307902.6000000006</v>
      </c>
      <c r="G18" s="117">
        <v>38207952</v>
      </c>
      <c r="H18" s="134">
        <v>20991489</v>
      </c>
      <c r="I18" s="117">
        <v>20541996</v>
      </c>
      <c r="J18" s="117">
        <v>14636286</v>
      </c>
      <c r="K18" s="33">
        <v>13397130</v>
      </c>
      <c r="L18" s="117">
        <v>23616072</v>
      </c>
      <c r="M18" s="117">
        <v>12912879</v>
      </c>
      <c r="N18" s="33">
        <f t="shared" si="0"/>
        <v>156610550.09999999</v>
      </c>
    </row>
    <row r="19" spans="1:14">
      <c r="A19" s="5" t="s">
        <v>62</v>
      </c>
      <c r="B19" s="6" t="s">
        <v>65</v>
      </c>
      <c r="C19" s="6" t="s">
        <v>66</v>
      </c>
      <c r="D19" s="15" t="s">
        <v>28</v>
      </c>
      <c r="E19" s="117">
        <v>5998843.5</v>
      </c>
      <c r="F19" s="117">
        <v>6307902.6000000006</v>
      </c>
      <c r="G19" s="117">
        <v>38207952</v>
      </c>
      <c r="H19" s="134">
        <v>20991489</v>
      </c>
      <c r="I19" s="117">
        <v>20541996</v>
      </c>
      <c r="J19" s="117">
        <v>14636286</v>
      </c>
      <c r="K19" s="33">
        <v>13397130</v>
      </c>
      <c r="L19" s="117">
        <v>23616072</v>
      </c>
      <c r="M19" s="117">
        <v>12912879</v>
      </c>
      <c r="N19" s="33">
        <f t="shared" si="0"/>
        <v>156610550.09999999</v>
      </c>
    </row>
    <row r="20" spans="1:14">
      <c r="A20" s="5" t="s">
        <v>64</v>
      </c>
      <c r="B20" s="6" t="s">
        <v>68</v>
      </c>
      <c r="C20" s="6"/>
      <c r="D20" s="15" t="s">
        <v>51</v>
      </c>
      <c r="E20" s="117">
        <v>2285273.7199999997</v>
      </c>
      <c r="F20" s="117">
        <v>2403010.5000000005</v>
      </c>
      <c r="G20" s="117">
        <v>14555410.300000001</v>
      </c>
      <c r="H20" s="134">
        <v>7996757.6999999993</v>
      </c>
      <c r="I20" s="117">
        <v>7825522.2800000012</v>
      </c>
      <c r="J20" s="117">
        <v>5575728.0200000005</v>
      </c>
      <c r="K20" s="33">
        <v>5103668.5799999991</v>
      </c>
      <c r="L20" s="117">
        <v>8996598.8600000013</v>
      </c>
      <c r="M20" s="117">
        <v>4919192</v>
      </c>
      <c r="N20" s="33">
        <f t="shared" si="0"/>
        <v>59661161.960000001</v>
      </c>
    </row>
    <row r="21" spans="1:14">
      <c r="A21" s="5" t="s">
        <v>67</v>
      </c>
      <c r="B21" s="6" t="s">
        <v>70</v>
      </c>
      <c r="C21" s="6" t="s">
        <v>71</v>
      </c>
      <c r="D21" s="15" t="s">
        <v>51</v>
      </c>
      <c r="E21" s="117">
        <v>1142636.8599999999</v>
      </c>
      <c r="F21" s="117">
        <v>1201505.2500000002</v>
      </c>
      <c r="G21" s="117">
        <v>7277705.1500000004</v>
      </c>
      <c r="H21" s="134">
        <v>3998378.8499999996</v>
      </c>
      <c r="I21" s="117">
        <v>3912761.1400000006</v>
      </c>
      <c r="J21" s="117">
        <v>2787864.0100000002</v>
      </c>
      <c r="K21" s="33">
        <v>2551834.2899999996</v>
      </c>
      <c r="L21" s="117">
        <v>4498299.4300000006</v>
      </c>
      <c r="M21" s="117">
        <v>2459596</v>
      </c>
      <c r="N21" s="33">
        <f t="shared" si="0"/>
        <v>29830580.98</v>
      </c>
    </row>
    <row r="22" spans="1:14">
      <c r="A22" s="5" t="s">
        <v>69</v>
      </c>
      <c r="B22" s="6" t="s">
        <v>73</v>
      </c>
      <c r="C22" s="6" t="s">
        <v>71</v>
      </c>
      <c r="D22" s="15" t="s">
        <v>51</v>
      </c>
      <c r="E22" s="117">
        <v>1142636.8599999999</v>
      </c>
      <c r="F22" s="117">
        <v>1201505.2500000002</v>
      </c>
      <c r="G22" s="117">
        <v>7277705.1500000004</v>
      </c>
      <c r="H22" s="134">
        <v>3998378.8499999996</v>
      </c>
      <c r="I22" s="117">
        <v>3912761.1400000006</v>
      </c>
      <c r="J22" s="117">
        <v>2787864.0100000002</v>
      </c>
      <c r="K22" s="33">
        <v>2551834.2899999996</v>
      </c>
      <c r="L22" s="117">
        <v>4498299.4300000006</v>
      </c>
      <c r="M22" s="117">
        <v>2459596</v>
      </c>
      <c r="N22" s="33">
        <f t="shared" si="0"/>
        <v>29830580.98</v>
      </c>
    </row>
    <row r="23" spans="1:14">
      <c r="A23" s="5" t="s">
        <v>72</v>
      </c>
      <c r="B23" s="6" t="s">
        <v>75</v>
      </c>
      <c r="C23" s="6"/>
      <c r="D23" s="7" t="s">
        <v>28</v>
      </c>
      <c r="E23" s="117">
        <v>9141094.8599999994</v>
      </c>
      <c r="F23" s="117">
        <v>9612042.0500000007</v>
      </c>
      <c r="G23" s="117">
        <v>58221641.149999999</v>
      </c>
      <c r="H23" s="134">
        <v>31987030.850000001</v>
      </c>
      <c r="I23" s="117">
        <v>31302089.140000001</v>
      </c>
      <c r="J23" s="117">
        <v>22302912.009999998</v>
      </c>
      <c r="K23" s="33">
        <v>20414674.289999999</v>
      </c>
      <c r="L23" s="117">
        <v>35986395.43</v>
      </c>
      <c r="M23" s="117">
        <v>19676768</v>
      </c>
      <c r="N23" s="33">
        <f t="shared" si="0"/>
        <v>238644647.78</v>
      </c>
    </row>
    <row r="24" spans="1:14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118">
        <v>9141094.8599999994</v>
      </c>
      <c r="F24" s="118">
        <v>9612042.0500000007</v>
      </c>
      <c r="G24" s="118">
        <v>58221641.149999999</v>
      </c>
      <c r="H24" s="135">
        <v>31987030.850000001</v>
      </c>
      <c r="I24" s="118">
        <v>31302089.140000001</v>
      </c>
      <c r="J24" s="118">
        <v>22302912.009999998</v>
      </c>
      <c r="K24" s="122">
        <v>20414674.289999999</v>
      </c>
      <c r="L24" s="118">
        <v>35986395.43</v>
      </c>
      <c r="M24" s="118">
        <v>19676768</v>
      </c>
      <c r="N24" s="33">
        <f t="shared" si="0"/>
        <v>238644647.78</v>
      </c>
    </row>
    <row r="25" spans="1:14">
      <c r="A25" s="5" t="s">
        <v>76</v>
      </c>
      <c r="B25" s="6" t="s">
        <v>80</v>
      </c>
      <c r="C25" s="6"/>
      <c r="D25" s="7" t="s">
        <v>28</v>
      </c>
      <c r="E25" s="117">
        <v>4570547.42</v>
      </c>
      <c r="F25" s="117">
        <v>4806021.04</v>
      </c>
      <c r="G25" s="117">
        <v>29110820.589999996</v>
      </c>
      <c r="H25" s="134">
        <v>15993515.43</v>
      </c>
      <c r="I25" s="117">
        <v>15651044.550000001</v>
      </c>
      <c r="J25" s="117">
        <v>11151456</v>
      </c>
      <c r="K25" s="33">
        <v>10207337.140000001</v>
      </c>
      <c r="L25" s="117">
        <v>17993197.720000003</v>
      </c>
      <c r="M25" s="117">
        <v>9838384</v>
      </c>
      <c r="N25" s="33">
        <f t="shared" si="0"/>
        <v>119322323.89</v>
      </c>
    </row>
    <row r="26" spans="1:14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118">
        <v>4570547.42</v>
      </c>
      <c r="F26" s="118">
        <v>4806021.04</v>
      </c>
      <c r="G26" s="118">
        <v>29110820.589999996</v>
      </c>
      <c r="H26" s="135">
        <v>15993515.43</v>
      </c>
      <c r="I26" s="118">
        <v>15651044.550000001</v>
      </c>
      <c r="J26" s="118">
        <v>11151456</v>
      </c>
      <c r="K26" s="122">
        <v>10207337.140000001</v>
      </c>
      <c r="L26" s="118">
        <v>17993197.720000003</v>
      </c>
      <c r="M26" s="118">
        <v>9838384</v>
      </c>
      <c r="N26" s="33">
        <f t="shared" si="0"/>
        <v>119322323.89</v>
      </c>
    </row>
    <row r="27" spans="1:14" ht="22.5">
      <c r="A27" s="5" t="s">
        <v>81</v>
      </c>
      <c r="B27" s="6" t="s">
        <v>85</v>
      </c>
      <c r="C27" s="14" t="s">
        <v>35</v>
      </c>
      <c r="D27" s="9" t="s">
        <v>86</v>
      </c>
      <c r="E27" s="117">
        <v>1626000</v>
      </c>
      <c r="F27" s="117">
        <v>1704000</v>
      </c>
      <c r="G27" s="117">
        <v>10290000</v>
      </c>
      <c r="H27" s="134">
        <v>6072000</v>
      </c>
      <c r="I27" s="117">
        <v>5694000</v>
      </c>
      <c r="J27" s="117">
        <v>3972000</v>
      </c>
      <c r="K27" s="33">
        <v>3522000</v>
      </c>
      <c r="L27" s="117">
        <v>6426000</v>
      </c>
      <c r="M27" s="117">
        <v>3558000</v>
      </c>
      <c r="N27" s="33">
        <f t="shared" si="0"/>
        <v>42864000</v>
      </c>
    </row>
    <row r="28" spans="1:14">
      <c r="A28" s="5" t="s">
        <v>84</v>
      </c>
      <c r="B28" s="6" t="s">
        <v>88</v>
      </c>
      <c r="C28" s="6" t="s">
        <v>88</v>
      </c>
      <c r="D28" s="7" t="s">
        <v>89</v>
      </c>
      <c r="E28" s="117">
        <v>3999229</v>
      </c>
      <c r="F28" s="117">
        <v>4205268.4000000004</v>
      </c>
      <c r="G28" s="117">
        <v>25471968</v>
      </c>
      <c r="H28" s="134">
        <v>13994326</v>
      </c>
      <c r="I28" s="117">
        <v>13694664</v>
      </c>
      <c r="J28" s="117">
        <v>9757524</v>
      </c>
      <c r="K28" s="33">
        <v>8931420</v>
      </c>
      <c r="L28" s="117">
        <v>15744048</v>
      </c>
      <c r="M28" s="117">
        <v>8608586</v>
      </c>
      <c r="N28" s="33">
        <f t="shared" si="0"/>
        <v>104407033.40000001</v>
      </c>
    </row>
    <row r="29" spans="1:14">
      <c r="A29" s="5" t="s">
        <v>87</v>
      </c>
      <c r="B29" s="6" t="s">
        <v>91</v>
      </c>
      <c r="C29" s="6" t="s">
        <v>92</v>
      </c>
      <c r="D29" s="9" t="s">
        <v>93</v>
      </c>
      <c r="E29" s="117">
        <v>0</v>
      </c>
      <c r="F29" s="117">
        <v>0</v>
      </c>
      <c r="G29" s="117">
        <v>0</v>
      </c>
      <c r="H29" s="134">
        <v>0</v>
      </c>
      <c r="I29" s="117">
        <v>0</v>
      </c>
      <c r="J29" s="117">
        <v>0</v>
      </c>
      <c r="K29" s="33">
        <v>0</v>
      </c>
      <c r="L29" s="117">
        <v>0</v>
      </c>
      <c r="M29" s="117">
        <v>0</v>
      </c>
      <c r="N29" s="33">
        <f t="shared" si="0"/>
        <v>0</v>
      </c>
    </row>
    <row r="30" spans="1:14">
      <c r="A30" s="5" t="s">
        <v>90</v>
      </c>
      <c r="B30" s="6" t="s">
        <v>95</v>
      </c>
      <c r="C30" s="6"/>
      <c r="D30" s="7" t="s">
        <v>28</v>
      </c>
      <c r="E30" s="117">
        <v>52660</v>
      </c>
      <c r="F30" s="117">
        <v>42730</v>
      </c>
      <c r="G30" s="117">
        <v>208171.2</v>
      </c>
      <c r="H30" s="134">
        <v>174140</v>
      </c>
      <c r="I30" s="117">
        <v>132440</v>
      </c>
      <c r="J30" s="117">
        <v>78070</v>
      </c>
      <c r="K30" s="33">
        <v>160190</v>
      </c>
      <c r="L30" s="117">
        <v>90300</v>
      </c>
      <c r="M30" s="117">
        <v>70410</v>
      </c>
      <c r="N30" s="33">
        <f t="shared" si="0"/>
        <v>1009111.2</v>
      </c>
    </row>
    <row r="31" spans="1:14">
      <c r="A31" s="5" t="s">
        <v>94</v>
      </c>
      <c r="B31" s="6" t="s">
        <v>97</v>
      </c>
      <c r="C31" s="6"/>
      <c r="D31" s="7" t="s">
        <v>28</v>
      </c>
      <c r="E31" s="117">
        <v>0</v>
      </c>
      <c r="F31" s="117">
        <v>0</v>
      </c>
      <c r="G31" s="117">
        <v>0</v>
      </c>
      <c r="H31" s="134">
        <v>0</v>
      </c>
      <c r="I31" s="117">
        <v>0</v>
      </c>
      <c r="J31" s="117">
        <v>0</v>
      </c>
      <c r="K31" s="33">
        <v>101740</v>
      </c>
      <c r="L31" s="117">
        <v>0</v>
      </c>
      <c r="M31" s="117">
        <v>0</v>
      </c>
      <c r="N31" s="33">
        <f t="shared" si="0"/>
        <v>101740</v>
      </c>
    </row>
    <row r="32" spans="1:14">
      <c r="A32" s="5" t="s">
        <v>96</v>
      </c>
      <c r="B32" s="6" t="s">
        <v>99</v>
      </c>
      <c r="C32" s="6" t="s">
        <v>100</v>
      </c>
      <c r="D32" s="15" t="s">
        <v>101</v>
      </c>
      <c r="E32" s="117">
        <v>0</v>
      </c>
      <c r="F32" s="117">
        <v>0</v>
      </c>
      <c r="G32" s="117">
        <v>0</v>
      </c>
      <c r="H32" s="134">
        <v>0</v>
      </c>
      <c r="I32" s="117">
        <v>0</v>
      </c>
      <c r="J32" s="117">
        <v>0</v>
      </c>
      <c r="K32" s="33">
        <v>492</v>
      </c>
      <c r="L32" s="117">
        <v>0</v>
      </c>
      <c r="M32" s="117">
        <v>0</v>
      </c>
      <c r="N32" s="33">
        <f t="shared" si="0"/>
        <v>492</v>
      </c>
    </row>
    <row r="33" spans="1:14">
      <c r="A33" s="5" t="s">
        <v>98</v>
      </c>
      <c r="B33" s="6" t="s">
        <v>103</v>
      </c>
      <c r="C33" s="6" t="s">
        <v>100</v>
      </c>
      <c r="D33" s="15" t="s">
        <v>101</v>
      </c>
      <c r="E33" s="117">
        <v>0</v>
      </c>
      <c r="F33" s="117">
        <v>0</v>
      </c>
      <c r="G33" s="117">
        <v>0</v>
      </c>
      <c r="H33" s="134">
        <v>0</v>
      </c>
      <c r="I33" s="117">
        <v>0</v>
      </c>
      <c r="J33" s="117">
        <v>0</v>
      </c>
      <c r="K33" s="33">
        <v>29400</v>
      </c>
      <c r="L33" s="117">
        <v>0</v>
      </c>
      <c r="M33" s="117">
        <v>0</v>
      </c>
      <c r="N33" s="33">
        <f t="shared" si="0"/>
        <v>29400</v>
      </c>
    </row>
    <row r="34" spans="1:14">
      <c r="A34" s="5" t="s">
        <v>102</v>
      </c>
      <c r="B34" s="6" t="s">
        <v>105</v>
      </c>
      <c r="C34" s="6" t="s">
        <v>100</v>
      </c>
      <c r="D34" s="15" t="s">
        <v>106</v>
      </c>
      <c r="E34" s="117">
        <v>0</v>
      </c>
      <c r="F34" s="117">
        <v>0</v>
      </c>
      <c r="G34" s="117">
        <v>0</v>
      </c>
      <c r="H34" s="134">
        <v>0</v>
      </c>
      <c r="I34" s="117">
        <v>0</v>
      </c>
      <c r="J34" s="117">
        <v>0</v>
      </c>
      <c r="K34" s="33">
        <v>0</v>
      </c>
      <c r="L34" s="117">
        <v>0</v>
      </c>
      <c r="M34" s="117">
        <v>0</v>
      </c>
      <c r="N34" s="33">
        <f t="shared" si="0"/>
        <v>0</v>
      </c>
    </row>
    <row r="35" spans="1:14">
      <c r="A35" s="5" t="s">
        <v>104</v>
      </c>
      <c r="B35" s="6" t="s">
        <v>108</v>
      </c>
      <c r="C35" s="6" t="s">
        <v>100</v>
      </c>
      <c r="D35" s="15" t="s">
        <v>101</v>
      </c>
      <c r="E35" s="117">
        <v>0</v>
      </c>
      <c r="F35" s="117">
        <v>0</v>
      </c>
      <c r="G35" s="117">
        <v>0</v>
      </c>
      <c r="H35" s="134">
        <v>0</v>
      </c>
      <c r="I35" s="117">
        <v>0</v>
      </c>
      <c r="J35" s="117">
        <v>0</v>
      </c>
      <c r="K35" s="33">
        <v>0</v>
      </c>
      <c r="L35" s="117">
        <v>0</v>
      </c>
      <c r="M35" s="117">
        <v>0</v>
      </c>
      <c r="N35" s="33">
        <f t="shared" ref="N35:N64" si="1">SUM(E35:M35)</f>
        <v>0</v>
      </c>
    </row>
    <row r="36" spans="1:14">
      <c r="A36" s="5" t="s">
        <v>107</v>
      </c>
      <c r="B36" s="6" t="s">
        <v>110</v>
      </c>
      <c r="C36" s="6" t="s">
        <v>100</v>
      </c>
      <c r="D36" s="15" t="s">
        <v>101</v>
      </c>
      <c r="E36" s="117">
        <v>0</v>
      </c>
      <c r="F36" s="117">
        <v>0</v>
      </c>
      <c r="G36" s="117">
        <v>0</v>
      </c>
      <c r="H36" s="134">
        <v>0</v>
      </c>
      <c r="I36" s="117">
        <v>0</v>
      </c>
      <c r="J36" s="117">
        <v>0</v>
      </c>
      <c r="K36" s="33">
        <v>0</v>
      </c>
      <c r="L36" s="117">
        <v>0</v>
      </c>
      <c r="M36" s="117">
        <v>0</v>
      </c>
      <c r="N36" s="33">
        <f t="shared" si="1"/>
        <v>0</v>
      </c>
    </row>
    <row r="37" spans="1:14">
      <c r="A37" s="5" t="s">
        <v>109</v>
      </c>
      <c r="B37" s="6" t="s">
        <v>112</v>
      </c>
      <c r="C37" s="6" t="s">
        <v>100</v>
      </c>
      <c r="D37" s="15" t="s">
        <v>101</v>
      </c>
      <c r="E37" s="117">
        <v>0</v>
      </c>
      <c r="F37" s="117">
        <v>0</v>
      </c>
      <c r="G37" s="117">
        <v>0</v>
      </c>
      <c r="H37" s="134">
        <v>0</v>
      </c>
      <c r="I37" s="117">
        <v>0</v>
      </c>
      <c r="J37" s="117">
        <v>0</v>
      </c>
      <c r="K37" s="33">
        <v>71848</v>
      </c>
      <c r="L37" s="117">
        <v>0</v>
      </c>
      <c r="M37" s="117">
        <v>0</v>
      </c>
      <c r="N37" s="33">
        <f t="shared" si="1"/>
        <v>71848</v>
      </c>
    </row>
    <row r="38" spans="1:14">
      <c r="A38" s="5" t="s">
        <v>111</v>
      </c>
      <c r="B38" s="6" t="s">
        <v>114</v>
      </c>
      <c r="C38" s="6" t="s">
        <v>100</v>
      </c>
      <c r="D38" s="15" t="s">
        <v>101</v>
      </c>
      <c r="E38" s="117">
        <v>0</v>
      </c>
      <c r="F38" s="117">
        <v>0</v>
      </c>
      <c r="G38" s="117">
        <v>0</v>
      </c>
      <c r="H38" s="134">
        <v>0</v>
      </c>
      <c r="I38" s="117">
        <v>0</v>
      </c>
      <c r="J38" s="117">
        <v>0</v>
      </c>
      <c r="K38" s="33">
        <v>0</v>
      </c>
      <c r="L38" s="117">
        <v>0</v>
      </c>
      <c r="M38" s="117">
        <v>0</v>
      </c>
      <c r="N38" s="33">
        <f t="shared" si="1"/>
        <v>0</v>
      </c>
    </row>
    <row r="39" spans="1:14">
      <c r="A39" s="5" t="s">
        <v>113</v>
      </c>
      <c r="B39" s="6" t="s">
        <v>119</v>
      </c>
      <c r="C39" s="6"/>
      <c r="D39" s="7" t="s">
        <v>28</v>
      </c>
      <c r="E39" s="117">
        <v>0</v>
      </c>
      <c r="F39" s="117">
        <v>0</v>
      </c>
      <c r="G39" s="117">
        <v>0</v>
      </c>
      <c r="H39" s="134">
        <v>0</v>
      </c>
      <c r="I39" s="117">
        <v>0</v>
      </c>
      <c r="J39" s="117">
        <v>0</v>
      </c>
      <c r="K39" s="33">
        <v>0</v>
      </c>
      <c r="L39" s="117">
        <v>0</v>
      </c>
      <c r="M39" s="117">
        <v>0</v>
      </c>
      <c r="N39" s="33">
        <f t="shared" si="1"/>
        <v>0</v>
      </c>
    </row>
    <row r="40" spans="1:14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18">
        <v>0</v>
      </c>
      <c r="F40" s="118">
        <v>0</v>
      </c>
      <c r="G40" s="118">
        <v>0</v>
      </c>
      <c r="H40" s="135">
        <v>0</v>
      </c>
      <c r="I40" s="118">
        <v>0</v>
      </c>
      <c r="J40" s="118">
        <v>0</v>
      </c>
      <c r="K40" s="122">
        <v>0</v>
      </c>
      <c r="L40" s="118">
        <v>0</v>
      </c>
      <c r="M40" s="118">
        <v>0</v>
      </c>
      <c r="N40" s="33">
        <f t="shared" si="1"/>
        <v>0</v>
      </c>
    </row>
    <row r="41" spans="1:14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18">
        <v>0</v>
      </c>
      <c r="F41" s="118">
        <v>0</v>
      </c>
      <c r="G41" s="118">
        <v>0</v>
      </c>
      <c r="H41" s="135">
        <v>0</v>
      </c>
      <c r="I41" s="118">
        <v>0</v>
      </c>
      <c r="J41" s="118">
        <v>0</v>
      </c>
      <c r="K41" s="122">
        <v>0</v>
      </c>
      <c r="L41" s="118">
        <v>0</v>
      </c>
      <c r="M41" s="118">
        <v>0</v>
      </c>
      <c r="N41" s="33">
        <f t="shared" si="1"/>
        <v>0</v>
      </c>
    </row>
    <row r="42" spans="1:14">
      <c r="A42" s="5" t="s">
        <v>118</v>
      </c>
      <c r="B42" s="6" t="s">
        <v>125</v>
      </c>
      <c r="C42" s="6"/>
      <c r="D42" s="7" t="s">
        <v>28</v>
      </c>
      <c r="E42" s="117">
        <v>19260</v>
      </c>
      <c r="F42" s="117">
        <v>19830</v>
      </c>
      <c r="G42" s="117">
        <v>111780</v>
      </c>
      <c r="H42" s="134">
        <v>59790</v>
      </c>
      <c r="I42" s="117">
        <v>62640</v>
      </c>
      <c r="J42" s="117">
        <v>36120</v>
      </c>
      <c r="K42" s="33">
        <v>32400</v>
      </c>
      <c r="L42" s="117">
        <v>46800</v>
      </c>
      <c r="M42" s="117">
        <v>34560</v>
      </c>
      <c r="N42" s="33">
        <f t="shared" si="1"/>
        <v>423180</v>
      </c>
    </row>
    <row r="43" spans="1:14">
      <c r="A43" s="5" t="s">
        <v>120</v>
      </c>
      <c r="B43" s="6" t="s">
        <v>127</v>
      </c>
      <c r="C43" s="6" t="s">
        <v>35</v>
      </c>
      <c r="D43" s="7" t="s">
        <v>36</v>
      </c>
      <c r="E43" s="117">
        <v>19260</v>
      </c>
      <c r="F43" s="117">
        <v>19830</v>
      </c>
      <c r="G43" s="117">
        <v>111780</v>
      </c>
      <c r="H43" s="134">
        <v>59790</v>
      </c>
      <c r="I43" s="117">
        <v>62640</v>
      </c>
      <c r="J43" s="117">
        <v>36120</v>
      </c>
      <c r="K43" s="33">
        <v>32400</v>
      </c>
      <c r="L43" s="117">
        <v>46800</v>
      </c>
      <c r="M43" s="117">
        <v>34560</v>
      </c>
      <c r="N43" s="33">
        <f t="shared" si="1"/>
        <v>423180</v>
      </c>
    </row>
    <row r="44" spans="1:14">
      <c r="A44" s="5" t="s">
        <v>122</v>
      </c>
      <c r="B44" s="6" t="s">
        <v>129</v>
      </c>
      <c r="C44" s="6"/>
      <c r="D44" s="7" t="s">
        <v>28</v>
      </c>
      <c r="E44" s="117">
        <v>33400</v>
      </c>
      <c r="F44" s="117">
        <v>22900</v>
      </c>
      <c r="G44" s="117">
        <v>96391.2</v>
      </c>
      <c r="H44" s="134">
        <v>114350</v>
      </c>
      <c r="I44" s="117">
        <v>69800</v>
      </c>
      <c r="J44" s="117">
        <v>41950</v>
      </c>
      <c r="K44" s="33">
        <v>26050</v>
      </c>
      <c r="L44" s="117">
        <v>43500</v>
      </c>
      <c r="M44" s="117">
        <v>35850</v>
      </c>
      <c r="N44" s="33">
        <f t="shared" si="1"/>
        <v>484191.2</v>
      </c>
    </row>
    <row r="45" spans="1:14">
      <c r="A45" s="5" t="s">
        <v>124</v>
      </c>
      <c r="B45" s="6" t="s">
        <v>131</v>
      </c>
      <c r="C45" s="6" t="s">
        <v>35</v>
      </c>
      <c r="D45" s="7" t="s">
        <v>132</v>
      </c>
      <c r="E45" s="117">
        <v>33400</v>
      </c>
      <c r="F45" s="117">
        <v>22900</v>
      </c>
      <c r="G45" s="117">
        <v>53600</v>
      </c>
      <c r="H45" s="134">
        <v>114350</v>
      </c>
      <c r="I45" s="117">
        <v>69800</v>
      </c>
      <c r="J45" s="117">
        <v>41950</v>
      </c>
      <c r="K45" s="33">
        <v>26050</v>
      </c>
      <c r="L45" s="117">
        <v>43500</v>
      </c>
      <c r="M45" s="117">
        <v>35850</v>
      </c>
      <c r="N45" s="33">
        <f t="shared" si="1"/>
        <v>441400</v>
      </c>
    </row>
    <row r="46" spans="1:14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18">
        <v>0</v>
      </c>
      <c r="F46" s="118">
        <v>0</v>
      </c>
      <c r="G46" s="118">
        <v>0</v>
      </c>
      <c r="H46" s="135">
        <v>0</v>
      </c>
      <c r="I46" s="118">
        <v>0</v>
      </c>
      <c r="J46" s="118">
        <v>0</v>
      </c>
      <c r="K46" s="122">
        <v>0</v>
      </c>
      <c r="L46" s="118">
        <v>0</v>
      </c>
      <c r="M46" s="118">
        <v>0</v>
      </c>
      <c r="N46" s="33">
        <f t="shared" si="1"/>
        <v>0</v>
      </c>
    </row>
    <row r="47" spans="1:14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18">
        <v>0</v>
      </c>
      <c r="F47" s="118">
        <v>0</v>
      </c>
      <c r="G47" s="118">
        <v>0</v>
      </c>
      <c r="H47" s="135">
        <v>0</v>
      </c>
      <c r="I47" s="118">
        <v>0</v>
      </c>
      <c r="J47" s="118">
        <v>0</v>
      </c>
      <c r="K47" s="122">
        <v>0</v>
      </c>
      <c r="L47" s="118">
        <v>0</v>
      </c>
      <c r="M47" s="118">
        <v>0</v>
      </c>
      <c r="N47" s="33">
        <f t="shared" si="1"/>
        <v>0</v>
      </c>
    </row>
    <row r="48" spans="1:14" ht="33.75">
      <c r="A48" s="5" t="s">
        <v>130</v>
      </c>
      <c r="B48" s="6" t="s">
        <v>139</v>
      </c>
      <c r="C48" s="6" t="s">
        <v>35</v>
      </c>
      <c r="D48" s="15" t="s">
        <v>140</v>
      </c>
      <c r="E48" s="117">
        <v>0</v>
      </c>
      <c r="F48" s="117">
        <v>0</v>
      </c>
      <c r="G48" s="117">
        <v>42791.199999999997</v>
      </c>
      <c r="H48" s="134">
        <v>0</v>
      </c>
      <c r="I48" s="117">
        <v>0</v>
      </c>
      <c r="J48" s="117">
        <v>0</v>
      </c>
      <c r="K48" s="33">
        <v>0</v>
      </c>
      <c r="L48" s="117">
        <v>0</v>
      </c>
      <c r="M48" s="117">
        <v>0</v>
      </c>
      <c r="N48" s="33">
        <f t="shared" si="1"/>
        <v>42791.199999999997</v>
      </c>
    </row>
    <row r="49" spans="1:14">
      <c r="A49" s="5" t="s">
        <v>133</v>
      </c>
      <c r="B49" s="6" t="s">
        <v>142</v>
      </c>
      <c r="C49" s="6"/>
      <c r="D49" s="7" t="s">
        <v>28</v>
      </c>
      <c r="E49" s="117">
        <v>13471837.66</v>
      </c>
      <c r="F49" s="117">
        <v>16340275.900000002</v>
      </c>
      <c r="G49" s="117">
        <v>98995797.450000003</v>
      </c>
      <c r="H49" s="134">
        <v>63326075.219999991</v>
      </c>
      <c r="I49" s="117">
        <v>51101836.189999998</v>
      </c>
      <c r="J49" s="117">
        <v>37976361.609999992</v>
      </c>
      <c r="K49" s="33">
        <v>33223938.790000003</v>
      </c>
      <c r="L49" s="117">
        <v>59590295.480000004</v>
      </c>
      <c r="M49" s="117">
        <v>30231109.279999997</v>
      </c>
      <c r="N49" s="33">
        <f t="shared" si="1"/>
        <v>404257527.57999998</v>
      </c>
    </row>
    <row r="50" spans="1:14">
      <c r="A50" s="5" t="s">
        <v>136</v>
      </c>
      <c r="B50" s="6" t="s">
        <v>144</v>
      </c>
      <c r="C50" s="6"/>
      <c r="D50" s="7" t="s">
        <v>145</v>
      </c>
      <c r="E50" s="117">
        <v>9362070</v>
      </c>
      <c r="F50" s="117">
        <v>11194350</v>
      </c>
      <c r="G50" s="117">
        <v>75956460</v>
      </c>
      <c r="H50" s="134">
        <v>46531320</v>
      </c>
      <c r="I50" s="117">
        <v>36822870</v>
      </c>
      <c r="J50" s="117">
        <v>27975630</v>
      </c>
      <c r="K50" s="33">
        <v>23742690</v>
      </c>
      <c r="L50" s="117">
        <v>43780190</v>
      </c>
      <c r="M50" s="117">
        <v>21217000</v>
      </c>
      <c r="N50" s="33">
        <f t="shared" si="1"/>
        <v>296582580</v>
      </c>
    </row>
    <row r="51" spans="1:14">
      <c r="A51" s="5" t="s">
        <v>138</v>
      </c>
      <c r="B51" s="6" t="s">
        <v>147</v>
      </c>
      <c r="C51" s="6" t="s">
        <v>35</v>
      </c>
      <c r="D51" s="20"/>
      <c r="E51" s="117">
        <v>0</v>
      </c>
      <c r="F51" s="117">
        <v>0</v>
      </c>
      <c r="G51" s="117">
        <v>0</v>
      </c>
      <c r="H51" s="134">
        <v>0</v>
      </c>
      <c r="I51" s="117">
        <v>0</v>
      </c>
      <c r="J51" s="117">
        <v>0</v>
      </c>
      <c r="K51" s="33">
        <v>0</v>
      </c>
      <c r="L51" s="117">
        <v>0</v>
      </c>
      <c r="M51" s="117">
        <v>0</v>
      </c>
      <c r="N51" s="33">
        <f t="shared" si="1"/>
        <v>0</v>
      </c>
    </row>
    <row r="52" spans="1:14">
      <c r="A52" s="5" t="s">
        <v>141</v>
      </c>
      <c r="B52" s="6" t="s">
        <v>149</v>
      </c>
      <c r="C52" s="6" t="s">
        <v>35</v>
      </c>
      <c r="D52" s="20"/>
      <c r="E52" s="117">
        <v>0</v>
      </c>
      <c r="F52" s="117">
        <v>0</v>
      </c>
      <c r="G52" s="117">
        <v>0</v>
      </c>
      <c r="H52" s="134">
        <v>0</v>
      </c>
      <c r="I52" s="117">
        <v>0</v>
      </c>
      <c r="J52" s="117">
        <v>0</v>
      </c>
      <c r="K52" s="33">
        <v>0</v>
      </c>
      <c r="L52" s="117">
        <v>0</v>
      </c>
      <c r="M52" s="117">
        <v>0</v>
      </c>
      <c r="N52" s="33">
        <f t="shared" si="1"/>
        <v>0</v>
      </c>
    </row>
    <row r="53" spans="1:14">
      <c r="A53" s="5" t="s">
        <v>143</v>
      </c>
      <c r="B53" s="6" t="s">
        <v>151</v>
      </c>
      <c r="C53" s="6" t="s">
        <v>35</v>
      </c>
      <c r="D53" s="20"/>
      <c r="E53" s="117">
        <v>0</v>
      </c>
      <c r="F53" s="117">
        <v>0</v>
      </c>
      <c r="G53" s="117">
        <v>0</v>
      </c>
      <c r="H53" s="134">
        <v>0</v>
      </c>
      <c r="I53" s="117">
        <v>0</v>
      </c>
      <c r="J53" s="117">
        <v>0</v>
      </c>
      <c r="K53" s="33">
        <v>0</v>
      </c>
      <c r="L53" s="117">
        <v>0</v>
      </c>
      <c r="M53" s="117">
        <v>0</v>
      </c>
      <c r="N53" s="33">
        <f t="shared" si="1"/>
        <v>0</v>
      </c>
    </row>
    <row r="54" spans="1:14">
      <c r="A54" s="5" t="s">
        <v>146</v>
      </c>
      <c r="B54" s="6" t="s">
        <v>153</v>
      </c>
      <c r="C54" s="6" t="s">
        <v>35</v>
      </c>
      <c r="D54" s="20"/>
      <c r="E54" s="117">
        <v>0</v>
      </c>
      <c r="F54" s="117">
        <v>0</v>
      </c>
      <c r="G54" s="117">
        <v>0</v>
      </c>
      <c r="H54" s="134">
        <v>0</v>
      </c>
      <c r="I54" s="117">
        <v>0</v>
      </c>
      <c r="J54" s="117">
        <v>0</v>
      </c>
      <c r="K54" s="33">
        <v>0</v>
      </c>
      <c r="L54" s="117">
        <v>0</v>
      </c>
      <c r="M54" s="117">
        <v>0</v>
      </c>
      <c r="N54" s="33">
        <f t="shared" si="1"/>
        <v>0</v>
      </c>
    </row>
    <row r="55" spans="1:14">
      <c r="A55" s="5" t="s">
        <v>148</v>
      </c>
      <c r="B55" s="6" t="s">
        <v>155</v>
      </c>
      <c r="C55" s="6" t="s">
        <v>35</v>
      </c>
      <c r="D55" s="20"/>
      <c r="E55" s="117">
        <v>0</v>
      </c>
      <c r="F55" s="117">
        <v>0</v>
      </c>
      <c r="G55" s="117">
        <v>0</v>
      </c>
      <c r="H55" s="134">
        <v>0</v>
      </c>
      <c r="I55" s="117">
        <v>0</v>
      </c>
      <c r="J55" s="117">
        <v>0</v>
      </c>
      <c r="K55" s="33">
        <v>0</v>
      </c>
      <c r="L55" s="117">
        <v>0</v>
      </c>
      <c r="M55" s="117">
        <v>0</v>
      </c>
      <c r="N55" s="33">
        <f t="shared" si="1"/>
        <v>0</v>
      </c>
    </row>
    <row r="56" spans="1:14">
      <c r="A56" s="5" t="s">
        <v>150</v>
      </c>
      <c r="B56" s="6" t="s">
        <v>157</v>
      </c>
      <c r="C56" s="6" t="s">
        <v>35</v>
      </c>
      <c r="D56" s="20"/>
      <c r="E56" s="117">
        <v>0</v>
      </c>
      <c r="F56" s="117">
        <v>0</v>
      </c>
      <c r="G56" s="117">
        <v>0</v>
      </c>
      <c r="H56" s="134">
        <v>0</v>
      </c>
      <c r="I56" s="117">
        <v>0</v>
      </c>
      <c r="J56" s="117">
        <v>0</v>
      </c>
      <c r="K56" s="33">
        <v>0</v>
      </c>
      <c r="L56" s="117">
        <v>0</v>
      </c>
      <c r="M56" s="117">
        <v>0</v>
      </c>
      <c r="N56" s="33">
        <f t="shared" si="1"/>
        <v>0</v>
      </c>
    </row>
    <row r="57" spans="1:14">
      <c r="A57" s="5" t="s">
        <v>152</v>
      </c>
      <c r="B57" s="6" t="s">
        <v>159</v>
      </c>
      <c r="C57" s="6" t="s">
        <v>35</v>
      </c>
      <c r="D57" s="20"/>
      <c r="E57" s="117">
        <v>0</v>
      </c>
      <c r="F57" s="117">
        <v>0</v>
      </c>
      <c r="G57" s="117">
        <v>0</v>
      </c>
      <c r="H57" s="134">
        <v>0</v>
      </c>
      <c r="I57" s="117">
        <v>0</v>
      </c>
      <c r="J57" s="117">
        <v>0</v>
      </c>
      <c r="K57" s="33">
        <v>0</v>
      </c>
      <c r="L57" s="117">
        <v>0</v>
      </c>
      <c r="M57" s="117">
        <v>0</v>
      </c>
      <c r="N57" s="33">
        <f t="shared" si="1"/>
        <v>0</v>
      </c>
    </row>
    <row r="58" spans="1:14">
      <c r="A58" s="5" t="s">
        <v>154</v>
      </c>
      <c r="B58" s="6" t="s">
        <v>161</v>
      </c>
      <c r="C58" s="6" t="s">
        <v>35</v>
      </c>
      <c r="D58" s="20"/>
      <c r="E58" s="117">
        <v>0</v>
      </c>
      <c r="F58" s="117">
        <v>0</v>
      </c>
      <c r="G58" s="117">
        <v>0</v>
      </c>
      <c r="H58" s="134">
        <v>0</v>
      </c>
      <c r="I58" s="117">
        <v>0</v>
      </c>
      <c r="J58" s="117">
        <v>0</v>
      </c>
      <c r="K58" s="33">
        <v>0</v>
      </c>
      <c r="L58" s="117">
        <v>0</v>
      </c>
      <c r="M58" s="117">
        <v>0</v>
      </c>
      <c r="N58" s="33">
        <f t="shared" si="1"/>
        <v>0</v>
      </c>
    </row>
    <row r="59" spans="1:14">
      <c r="A59" s="5" t="s">
        <v>156</v>
      </c>
      <c r="B59" s="6" t="s">
        <v>163</v>
      </c>
      <c r="C59" s="6" t="s">
        <v>35</v>
      </c>
      <c r="D59" s="20"/>
      <c r="E59" s="117">
        <v>0</v>
      </c>
      <c r="F59" s="117">
        <v>0</v>
      </c>
      <c r="G59" s="117">
        <v>0</v>
      </c>
      <c r="H59" s="134">
        <v>0</v>
      </c>
      <c r="I59" s="117">
        <v>0</v>
      </c>
      <c r="J59" s="117">
        <v>0</v>
      </c>
      <c r="K59" s="33">
        <v>0</v>
      </c>
      <c r="L59" s="117">
        <v>0</v>
      </c>
      <c r="M59" s="117">
        <v>0</v>
      </c>
      <c r="N59" s="33">
        <f t="shared" si="1"/>
        <v>0</v>
      </c>
    </row>
    <row r="60" spans="1:14">
      <c r="A60" s="5" t="s">
        <v>158</v>
      </c>
      <c r="B60" s="6" t="s">
        <v>165</v>
      </c>
      <c r="C60" s="6" t="s">
        <v>166</v>
      </c>
      <c r="D60" s="20" t="s">
        <v>167</v>
      </c>
      <c r="E60" s="117">
        <v>450371.5</v>
      </c>
      <c r="F60" s="117">
        <v>496437.5</v>
      </c>
      <c r="G60" s="117">
        <v>3692861</v>
      </c>
      <c r="H60" s="134">
        <v>2177545</v>
      </c>
      <c r="I60" s="117">
        <v>1666843.5</v>
      </c>
      <c r="J60" s="117">
        <v>1357083</v>
      </c>
      <c r="K60" s="33">
        <v>1159678.5</v>
      </c>
      <c r="L60" s="117">
        <v>2109930.5</v>
      </c>
      <c r="M60" s="117">
        <v>1009234.5</v>
      </c>
      <c r="N60" s="33">
        <f t="shared" si="1"/>
        <v>14119985</v>
      </c>
    </row>
    <row r="61" spans="1:14">
      <c r="A61" s="5" t="s">
        <v>160</v>
      </c>
      <c r="B61" s="6" t="s">
        <v>169</v>
      </c>
      <c r="C61" s="6" t="s">
        <v>35</v>
      </c>
      <c r="D61" s="20"/>
      <c r="E61" s="117">
        <v>0</v>
      </c>
      <c r="F61" s="117">
        <v>0</v>
      </c>
      <c r="G61" s="117">
        <v>0</v>
      </c>
      <c r="H61" s="134">
        <v>0</v>
      </c>
      <c r="I61" s="117">
        <v>0</v>
      </c>
      <c r="J61" s="117">
        <v>0</v>
      </c>
      <c r="K61" s="33">
        <v>0</v>
      </c>
      <c r="L61" s="117">
        <v>0</v>
      </c>
      <c r="M61" s="117">
        <v>0</v>
      </c>
      <c r="N61" s="33">
        <f t="shared" si="1"/>
        <v>0</v>
      </c>
    </row>
    <row r="62" spans="1:14">
      <c r="A62" s="5" t="s">
        <v>162</v>
      </c>
      <c r="B62" s="6" t="s">
        <v>171</v>
      </c>
      <c r="C62" s="6" t="s">
        <v>35</v>
      </c>
      <c r="D62" s="20"/>
      <c r="E62" s="117">
        <v>0</v>
      </c>
      <c r="F62" s="117">
        <v>0</v>
      </c>
      <c r="G62" s="117">
        <v>0</v>
      </c>
      <c r="H62" s="134">
        <v>0</v>
      </c>
      <c r="I62" s="117">
        <v>0</v>
      </c>
      <c r="J62" s="117">
        <v>0</v>
      </c>
      <c r="K62" s="33">
        <v>0</v>
      </c>
      <c r="L62" s="117">
        <v>0</v>
      </c>
      <c r="M62" s="117">
        <v>0</v>
      </c>
      <c r="N62" s="33">
        <f t="shared" si="1"/>
        <v>0</v>
      </c>
    </row>
    <row r="63" spans="1:14">
      <c r="A63" s="5" t="s">
        <v>164</v>
      </c>
      <c r="B63" s="6" t="s">
        <v>173</v>
      </c>
      <c r="C63" s="6" t="s">
        <v>35</v>
      </c>
      <c r="D63" s="20"/>
      <c r="E63" s="117">
        <v>0</v>
      </c>
      <c r="F63" s="117">
        <v>0</v>
      </c>
      <c r="G63" s="117">
        <v>0</v>
      </c>
      <c r="H63" s="134">
        <v>0</v>
      </c>
      <c r="I63" s="117">
        <v>0</v>
      </c>
      <c r="J63" s="117">
        <v>0</v>
      </c>
      <c r="K63" s="33">
        <v>0</v>
      </c>
      <c r="L63" s="117">
        <v>0</v>
      </c>
      <c r="M63" s="117">
        <v>0</v>
      </c>
      <c r="N63" s="33">
        <f t="shared" si="1"/>
        <v>0</v>
      </c>
    </row>
    <row r="64" spans="1:14">
      <c r="A64" s="5" t="s">
        <v>168</v>
      </c>
      <c r="B64" s="6" t="s">
        <v>175</v>
      </c>
      <c r="C64" s="6" t="s">
        <v>35</v>
      </c>
      <c r="D64" s="20"/>
      <c r="E64" s="117">
        <v>0</v>
      </c>
      <c r="F64" s="117">
        <v>0</v>
      </c>
      <c r="G64" s="117">
        <v>0</v>
      </c>
      <c r="H64" s="134">
        <v>0</v>
      </c>
      <c r="I64" s="117">
        <v>0</v>
      </c>
      <c r="J64" s="117">
        <v>0</v>
      </c>
      <c r="K64" s="33">
        <v>0</v>
      </c>
      <c r="L64" s="117">
        <v>0</v>
      </c>
      <c r="M64" s="117">
        <v>0</v>
      </c>
      <c r="N64" s="33">
        <f t="shared" si="1"/>
        <v>0</v>
      </c>
    </row>
    <row r="65" spans="1:14">
      <c r="A65" s="5" t="s">
        <v>170</v>
      </c>
      <c r="B65" s="6" t="s">
        <v>177</v>
      </c>
      <c r="C65" s="6" t="s">
        <v>35</v>
      </c>
      <c r="D65" s="20"/>
      <c r="E65" s="117">
        <v>0</v>
      </c>
      <c r="F65" s="117">
        <v>0</v>
      </c>
      <c r="G65" s="117">
        <v>0</v>
      </c>
      <c r="H65" s="134">
        <v>0</v>
      </c>
      <c r="I65" s="117">
        <v>0</v>
      </c>
      <c r="J65" s="117">
        <v>0</v>
      </c>
      <c r="K65" s="33">
        <v>0</v>
      </c>
      <c r="L65" s="117">
        <v>0</v>
      </c>
      <c r="M65" s="117">
        <v>0</v>
      </c>
      <c r="N65" s="33">
        <f t="shared" ref="N65:N106" si="2">SUM(E65:M65)</f>
        <v>0</v>
      </c>
    </row>
    <row r="66" spans="1:14">
      <c r="A66" s="5" t="s">
        <v>172</v>
      </c>
      <c r="B66" s="6" t="s">
        <v>179</v>
      </c>
      <c r="C66" s="6" t="s">
        <v>35</v>
      </c>
      <c r="D66" s="20"/>
      <c r="E66" s="117">
        <v>0</v>
      </c>
      <c r="F66" s="117">
        <v>0</v>
      </c>
      <c r="G66" s="117">
        <v>0</v>
      </c>
      <c r="H66" s="134">
        <v>0</v>
      </c>
      <c r="I66" s="117">
        <v>0</v>
      </c>
      <c r="J66" s="117">
        <v>0</v>
      </c>
      <c r="K66" s="33">
        <v>0</v>
      </c>
      <c r="L66" s="117">
        <v>0</v>
      </c>
      <c r="M66" s="117">
        <v>0</v>
      </c>
      <c r="N66" s="33">
        <f t="shared" si="2"/>
        <v>0</v>
      </c>
    </row>
    <row r="67" spans="1:14">
      <c r="A67" s="5" t="s">
        <v>174</v>
      </c>
      <c r="B67" s="6" t="s">
        <v>181</v>
      </c>
      <c r="C67" s="6" t="s">
        <v>35</v>
      </c>
      <c r="D67" s="20"/>
      <c r="E67" s="117">
        <v>0</v>
      </c>
      <c r="F67" s="117">
        <v>0</v>
      </c>
      <c r="G67" s="117">
        <v>0</v>
      </c>
      <c r="H67" s="134">
        <v>0</v>
      </c>
      <c r="I67" s="117">
        <v>0</v>
      </c>
      <c r="J67" s="117">
        <v>0</v>
      </c>
      <c r="K67" s="33">
        <v>0</v>
      </c>
      <c r="L67" s="117">
        <v>0</v>
      </c>
      <c r="M67" s="117">
        <v>0</v>
      </c>
      <c r="N67" s="33">
        <f t="shared" si="2"/>
        <v>0</v>
      </c>
    </row>
    <row r="68" spans="1:14">
      <c r="A68" s="5" t="s">
        <v>176</v>
      </c>
      <c r="B68" s="6" t="s">
        <v>183</v>
      </c>
      <c r="C68" s="6"/>
      <c r="D68" s="7"/>
      <c r="E68" s="117">
        <v>108400</v>
      </c>
      <c r="F68" s="117">
        <v>113600</v>
      </c>
      <c r="G68" s="117">
        <v>686000</v>
      </c>
      <c r="H68" s="134">
        <v>404800</v>
      </c>
      <c r="I68" s="117">
        <v>379600</v>
      </c>
      <c r="J68" s="117">
        <v>264800</v>
      </c>
      <c r="K68" s="33">
        <v>234800</v>
      </c>
      <c r="L68" s="117">
        <v>428400</v>
      </c>
      <c r="M68" s="117">
        <v>237200</v>
      </c>
      <c r="N68" s="33">
        <f t="shared" si="2"/>
        <v>2857600</v>
      </c>
    </row>
    <row r="69" spans="1:14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118">
        <v>108400</v>
      </c>
      <c r="F69" s="118">
        <v>113600</v>
      </c>
      <c r="G69" s="118">
        <v>686000</v>
      </c>
      <c r="H69" s="135">
        <v>404800</v>
      </c>
      <c r="I69" s="118">
        <v>379600</v>
      </c>
      <c r="J69" s="118">
        <v>264800</v>
      </c>
      <c r="K69" s="122">
        <v>234800</v>
      </c>
      <c r="L69" s="118">
        <v>428400</v>
      </c>
      <c r="M69" s="118">
        <v>237200</v>
      </c>
      <c r="N69" s="33">
        <f t="shared" si="2"/>
        <v>2857600</v>
      </c>
    </row>
    <row r="70" spans="1:14">
      <c r="A70" s="5" t="s">
        <v>180</v>
      </c>
      <c r="B70" s="6" t="s">
        <v>188</v>
      </c>
      <c r="C70" s="6"/>
      <c r="D70" s="7" t="s">
        <v>28</v>
      </c>
      <c r="E70" s="117">
        <v>820978.8</v>
      </c>
      <c r="F70" s="117">
        <v>1307308.6499999999</v>
      </c>
      <c r="G70" s="117">
        <v>3614930.7</v>
      </c>
      <c r="H70" s="134">
        <v>4203953.25</v>
      </c>
      <c r="I70" s="117">
        <v>2669043.4500000002</v>
      </c>
      <c r="J70" s="117">
        <v>2117617.2000000002</v>
      </c>
      <c r="K70" s="33">
        <v>1367345.7</v>
      </c>
      <c r="L70" s="117">
        <v>3163942.05</v>
      </c>
      <c r="M70" s="117">
        <v>1499860.8</v>
      </c>
      <c r="N70" s="33">
        <f t="shared" si="2"/>
        <v>20764980.600000001</v>
      </c>
    </row>
    <row r="71" spans="1:14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118">
        <v>820978.8</v>
      </c>
      <c r="F71" s="118">
        <v>1307308.6499999999</v>
      </c>
      <c r="G71" s="118">
        <v>3614930.7</v>
      </c>
      <c r="H71" s="135">
        <v>4203953.25</v>
      </c>
      <c r="I71" s="118">
        <v>2669043.4500000002</v>
      </c>
      <c r="J71" s="118">
        <v>2117617.2000000002</v>
      </c>
      <c r="K71" s="122">
        <v>1367345.7</v>
      </c>
      <c r="L71" s="118">
        <v>3163942.05</v>
      </c>
      <c r="M71" s="118">
        <v>1499860.8</v>
      </c>
      <c r="N71" s="33">
        <f t="shared" si="2"/>
        <v>20764980.600000001</v>
      </c>
    </row>
    <row r="72" spans="1:14">
      <c r="A72" s="5" t="s">
        <v>184</v>
      </c>
      <c r="B72" s="6" t="s">
        <v>193</v>
      </c>
      <c r="C72" s="6"/>
      <c r="D72" s="7" t="s">
        <v>28</v>
      </c>
      <c r="E72" s="117">
        <v>215592</v>
      </c>
      <c r="F72" s="117">
        <v>416552</v>
      </c>
      <c r="G72" s="117">
        <v>898061.6</v>
      </c>
      <c r="H72" s="134">
        <v>1304503.1199999999</v>
      </c>
      <c r="I72" s="117">
        <v>706321.6</v>
      </c>
      <c r="J72" s="117">
        <v>601170.4</v>
      </c>
      <c r="K72" s="33">
        <v>535588.80000000005</v>
      </c>
      <c r="L72" s="117">
        <v>1032584</v>
      </c>
      <c r="M72" s="117">
        <v>330332.48</v>
      </c>
      <c r="N72" s="33">
        <f t="shared" si="2"/>
        <v>6040706</v>
      </c>
    </row>
    <row r="73" spans="1:14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118">
        <v>215592</v>
      </c>
      <c r="F73" s="118">
        <v>416552</v>
      </c>
      <c r="G73" s="118">
        <v>898061.6</v>
      </c>
      <c r="H73" s="135">
        <v>1304503.1199999999</v>
      </c>
      <c r="I73" s="118">
        <v>706321.6</v>
      </c>
      <c r="J73" s="118">
        <v>601170.4</v>
      </c>
      <c r="K73" s="122">
        <v>535588.80000000005</v>
      </c>
      <c r="L73" s="118">
        <v>1032584</v>
      </c>
      <c r="M73" s="118">
        <v>330332.48</v>
      </c>
      <c r="N73" s="33">
        <f t="shared" si="2"/>
        <v>6040706</v>
      </c>
    </row>
    <row r="74" spans="1:14">
      <c r="A74" s="5" t="s">
        <v>189</v>
      </c>
      <c r="B74" s="6" t="s">
        <v>198</v>
      </c>
      <c r="C74" s="6"/>
      <c r="D74" s="7" t="s">
        <v>28</v>
      </c>
      <c r="E74" s="117">
        <v>0</v>
      </c>
      <c r="F74" s="117">
        <v>0</v>
      </c>
      <c r="G74" s="117">
        <v>0</v>
      </c>
      <c r="H74" s="134">
        <v>0</v>
      </c>
      <c r="I74" s="117">
        <v>0</v>
      </c>
      <c r="J74" s="117">
        <v>0</v>
      </c>
      <c r="K74" s="33">
        <v>0</v>
      </c>
      <c r="L74" s="117">
        <v>0</v>
      </c>
      <c r="M74" s="117">
        <v>0</v>
      </c>
      <c r="N74" s="33">
        <f t="shared" si="2"/>
        <v>0</v>
      </c>
    </row>
    <row r="75" spans="1:14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18">
        <v>0</v>
      </c>
      <c r="F75" s="118">
        <v>0</v>
      </c>
      <c r="G75" s="118">
        <v>0</v>
      </c>
      <c r="H75" s="135">
        <v>0</v>
      </c>
      <c r="I75" s="118">
        <v>0</v>
      </c>
      <c r="J75" s="118">
        <v>0</v>
      </c>
      <c r="K75" s="122">
        <v>0</v>
      </c>
      <c r="L75" s="118">
        <v>0</v>
      </c>
      <c r="M75" s="118">
        <v>0</v>
      </c>
      <c r="N75" s="33">
        <f t="shared" si="2"/>
        <v>0</v>
      </c>
    </row>
    <row r="76" spans="1:14">
      <c r="A76" s="5" t="s">
        <v>194</v>
      </c>
      <c r="B76" s="6" t="s">
        <v>202</v>
      </c>
      <c r="C76" s="6"/>
      <c r="D76" s="7" t="s">
        <v>28</v>
      </c>
      <c r="E76" s="117">
        <v>1170720</v>
      </c>
      <c r="F76" s="117">
        <v>1226880</v>
      </c>
      <c r="G76" s="117">
        <v>7408800</v>
      </c>
      <c r="H76" s="134">
        <v>4371840</v>
      </c>
      <c r="I76" s="117">
        <v>4099680</v>
      </c>
      <c r="J76" s="117">
        <v>2859840</v>
      </c>
      <c r="K76" s="33">
        <v>2535840</v>
      </c>
      <c r="L76" s="117">
        <v>4626720</v>
      </c>
      <c r="M76" s="117">
        <v>2561760</v>
      </c>
      <c r="N76" s="33">
        <f t="shared" si="2"/>
        <v>30862080</v>
      </c>
    </row>
    <row r="77" spans="1:14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118">
        <v>1170720</v>
      </c>
      <c r="F77" s="118">
        <v>1226880</v>
      </c>
      <c r="G77" s="118">
        <v>7408800</v>
      </c>
      <c r="H77" s="135">
        <v>4371840</v>
      </c>
      <c r="I77" s="118">
        <v>4099680</v>
      </c>
      <c r="J77" s="118">
        <v>2859840</v>
      </c>
      <c r="K77" s="122">
        <v>2535840</v>
      </c>
      <c r="L77" s="118">
        <v>4626720</v>
      </c>
      <c r="M77" s="118">
        <v>2561760</v>
      </c>
      <c r="N77" s="33">
        <f t="shared" si="2"/>
        <v>30862080</v>
      </c>
    </row>
    <row r="78" spans="1:14">
      <c r="A78" s="5" t="s">
        <v>199</v>
      </c>
      <c r="B78" s="6" t="s">
        <v>207</v>
      </c>
      <c r="C78" s="6"/>
      <c r="D78" s="7" t="s">
        <v>28</v>
      </c>
      <c r="E78" s="117">
        <v>1142636.8599999999</v>
      </c>
      <c r="F78" s="117">
        <v>1201505.2500000002</v>
      </c>
      <c r="G78" s="117">
        <v>7277705.1500000004</v>
      </c>
      <c r="H78" s="134">
        <v>3998378.8499999996</v>
      </c>
      <c r="I78" s="117">
        <v>3912761.1400000006</v>
      </c>
      <c r="J78" s="117">
        <v>2787864.0100000002</v>
      </c>
      <c r="K78" s="33">
        <v>2551834.2899999996</v>
      </c>
      <c r="L78" s="117">
        <v>4498299.4300000006</v>
      </c>
      <c r="M78" s="117">
        <v>2459596</v>
      </c>
      <c r="N78" s="33">
        <f t="shared" si="2"/>
        <v>29830580.98</v>
      </c>
    </row>
    <row r="79" spans="1:14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118">
        <v>1142636.8599999999</v>
      </c>
      <c r="F79" s="118">
        <v>1201505.2500000002</v>
      </c>
      <c r="G79" s="118">
        <v>7277705.1500000004</v>
      </c>
      <c r="H79" s="135">
        <v>3998378.8499999996</v>
      </c>
      <c r="I79" s="118">
        <v>3912761.1400000006</v>
      </c>
      <c r="J79" s="118">
        <v>2787864.0100000002</v>
      </c>
      <c r="K79" s="122">
        <v>2551834.2899999996</v>
      </c>
      <c r="L79" s="118">
        <v>4498299.4300000006</v>
      </c>
      <c r="M79" s="118">
        <v>2459596</v>
      </c>
      <c r="N79" s="33">
        <f t="shared" si="2"/>
        <v>29830580.98</v>
      </c>
    </row>
    <row r="80" spans="1:14">
      <c r="A80" s="5" t="s">
        <v>203</v>
      </c>
      <c r="B80" s="6" t="s">
        <v>211</v>
      </c>
      <c r="C80" s="6"/>
      <c r="D80" s="7" t="s">
        <v>28</v>
      </c>
      <c r="E80" s="117">
        <v>64000</v>
      </c>
      <c r="F80" s="117">
        <v>64000</v>
      </c>
      <c r="G80" s="117">
        <v>320000</v>
      </c>
      <c r="H80" s="134">
        <v>224000</v>
      </c>
      <c r="I80" s="117">
        <v>320000</v>
      </c>
      <c r="J80" s="117">
        <v>64000</v>
      </c>
      <c r="K80" s="33">
        <v>128000</v>
      </c>
      <c r="L80" s="117">
        <v>320000</v>
      </c>
      <c r="M80" s="117">
        <v>224000</v>
      </c>
      <c r="N80" s="33">
        <f t="shared" si="2"/>
        <v>1728000</v>
      </c>
    </row>
    <row r="81" spans="1:14" ht="33.75">
      <c r="A81" s="5" t="s">
        <v>206</v>
      </c>
      <c r="B81" s="6" t="s">
        <v>213</v>
      </c>
      <c r="C81" s="6" t="s">
        <v>35</v>
      </c>
      <c r="D81" s="20" t="s">
        <v>214</v>
      </c>
      <c r="E81" s="117">
        <v>64000</v>
      </c>
      <c r="F81" s="117">
        <v>64000</v>
      </c>
      <c r="G81" s="117">
        <v>320000</v>
      </c>
      <c r="H81" s="134">
        <v>224000</v>
      </c>
      <c r="I81" s="117">
        <v>320000</v>
      </c>
      <c r="J81" s="117">
        <v>64000</v>
      </c>
      <c r="K81" s="33">
        <v>128000</v>
      </c>
      <c r="L81" s="117">
        <v>320000</v>
      </c>
      <c r="M81" s="117">
        <v>224000</v>
      </c>
      <c r="N81" s="33">
        <f t="shared" si="2"/>
        <v>1728000</v>
      </c>
    </row>
    <row r="82" spans="1:14">
      <c r="A82" s="5" t="s">
        <v>208</v>
      </c>
      <c r="B82" s="6" t="s">
        <v>216</v>
      </c>
      <c r="C82" s="6"/>
      <c r="D82" s="7" t="s">
        <v>28</v>
      </c>
      <c r="E82" s="117">
        <v>481440</v>
      </c>
      <c r="F82" s="117">
        <v>656080</v>
      </c>
      <c r="G82" s="117">
        <v>2463840</v>
      </c>
      <c r="H82" s="134">
        <v>1883280</v>
      </c>
      <c r="I82" s="117">
        <v>1878560</v>
      </c>
      <c r="J82" s="117">
        <v>953440</v>
      </c>
      <c r="K82" s="33">
        <v>1967840</v>
      </c>
      <c r="L82" s="117">
        <v>1548160</v>
      </c>
      <c r="M82" s="117">
        <v>1595360</v>
      </c>
      <c r="N82" s="33">
        <f t="shared" si="2"/>
        <v>13428000</v>
      </c>
    </row>
    <row r="83" spans="1:14">
      <c r="A83" s="5" t="s">
        <v>210</v>
      </c>
      <c r="B83" s="6" t="s">
        <v>218</v>
      </c>
      <c r="C83" s="6"/>
      <c r="D83" s="7" t="s">
        <v>28</v>
      </c>
      <c r="E83" s="117">
        <v>0</v>
      </c>
      <c r="F83" s="117">
        <v>0</v>
      </c>
      <c r="G83" s="117">
        <v>0</v>
      </c>
      <c r="H83" s="134">
        <v>0</v>
      </c>
      <c r="I83" s="117">
        <v>0</v>
      </c>
      <c r="J83" s="117">
        <v>0</v>
      </c>
      <c r="K83" s="33">
        <v>4320</v>
      </c>
      <c r="L83" s="117">
        <v>0</v>
      </c>
      <c r="M83" s="117">
        <v>0</v>
      </c>
      <c r="N83" s="33">
        <f t="shared" si="2"/>
        <v>4320</v>
      </c>
    </row>
    <row r="84" spans="1:14">
      <c r="A84" s="5" t="s">
        <v>212</v>
      </c>
      <c r="B84" s="6" t="s">
        <v>220</v>
      </c>
      <c r="C84" s="6" t="s">
        <v>35</v>
      </c>
      <c r="D84" s="20" t="s">
        <v>135</v>
      </c>
      <c r="E84" s="117">
        <v>0</v>
      </c>
      <c r="F84" s="117">
        <v>0</v>
      </c>
      <c r="G84" s="117">
        <v>0</v>
      </c>
      <c r="H84" s="134">
        <v>0</v>
      </c>
      <c r="I84" s="117">
        <v>0</v>
      </c>
      <c r="J84" s="117">
        <v>0</v>
      </c>
      <c r="K84" s="33">
        <v>0</v>
      </c>
      <c r="L84" s="117">
        <v>0</v>
      </c>
      <c r="M84" s="117">
        <v>0</v>
      </c>
      <c r="N84" s="33">
        <f t="shared" si="2"/>
        <v>0</v>
      </c>
    </row>
    <row r="85" spans="1:14">
      <c r="A85" s="5" t="s">
        <v>215</v>
      </c>
      <c r="B85" s="6" t="s">
        <v>222</v>
      </c>
      <c r="C85" s="6" t="s">
        <v>35</v>
      </c>
      <c r="D85" s="7" t="s">
        <v>223</v>
      </c>
      <c r="E85" s="117">
        <v>0</v>
      </c>
      <c r="F85" s="117">
        <v>0</v>
      </c>
      <c r="G85" s="117">
        <v>0</v>
      </c>
      <c r="H85" s="134">
        <v>0</v>
      </c>
      <c r="I85" s="117">
        <v>0</v>
      </c>
      <c r="J85" s="117">
        <v>0</v>
      </c>
      <c r="K85" s="33">
        <v>4320</v>
      </c>
      <c r="L85" s="117">
        <v>0</v>
      </c>
      <c r="M85" s="117">
        <v>0</v>
      </c>
      <c r="N85" s="33">
        <f t="shared" si="2"/>
        <v>4320</v>
      </c>
    </row>
    <row r="86" spans="1:14">
      <c r="A86" s="5" t="s">
        <v>217</v>
      </c>
      <c r="B86" s="6" t="s">
        <v>225</v>
      </c>
      <c r="C86" s="6"/>
      <c r="D86" s="7" t="s">
        <v>28</v>
      </c>
      <c r="E86" s="117">
        <v>481440</v>
      </c>
      <c r="F86" s="117">
        <v>656080</v>
      </c>
      <c r="G86" s="117">
        <v>2463840</v>
      </c>
      <c r="H86" s="134">
        <v>1883280</v>
      </c>
      <c r="I86" s="117">
        <v>1878560</v>
      </c>
      <c r="J86" s="117">
        <v>953440</v>
      </c>
      <c r="K86" s="33">
        <v>1963520</v>
      </c>
      <c r="L86" s="117">
        <v>1548160</v>
      </c>
      <c r="M86" s="117">
        <v>1595360</v>
      </c>
      <c r="N86" s="33">
        <f t="shared" si="2"/>
        <v>13423680</v>
      </c>
    </row>
    <row r="87" spans="1:14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118">
        <v>40800</v>
      </c>
      <c r="F87" s="118">
        <v>55600</v>
      </c>
      <c r="G87" s="118">
        <v>208800</v>
      </c>
      <c r="H87" s="135">
        <v>159600</v>
      </c>
      <c r="I87" s="118">
        <v>159200</v>
      </c>
      <c r="J87" s="118">
        <v>80800</v>
      </c>
      <c r="K87" s="122">
        <v>166400</v>
      </c>
      <c r="L87" s="118">
        <v>131200</v>
      </c>
      <c r="M87" s="118">
        <v>135200</v>
      </c>
      <c r="N87" s="33">
        <f t="shared" si="2"/>
        <v>1137600</v>
      </c>
    </row>
    <row r="88" spans="1:14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118">
        <v>440640</v>
      </c>
      <c r="F88" s="118">
        <v>600480</v>
      </c>
      <c r="G88" s="118">
        <v>2255040</v>
      </c>
      <c r="H88" s="135">
        <v>1723680</v>
      </c>
      <c r="I88" s="118">
        <v>1719360</v>
      </c>
      <c r="J88" s="118">
        <v>872640</v>
      </c>
      <c r="K88" s="122">
        <v>1797120</v>
      </c>
      <c r="L88" s="118">
        <v>1416960</v>
      </c>
      <c r="M88" s="118">
        <v>1460160</v>
      </c>
      <c r="N88" s="33">
        <f t="shared" si="2"/>
        <v>12286080</v>
      </c>
    </row>
    <row r="89" spans="1:14">
      <c r="A89" s="5" t="s">
        <v>224</v>
      </c>
      <c r="B89" s="6" t="s">
        <v>233</v>
      </c>
      <c r="C89" s="6" t="s">
        <v>35</v>
      </c>
      <c r="D89" s="20" t="s">
        <v>135</v>
      </c>
      <c r="E89" s="117">
        <v>0</v>
      </c>
      <c r="F89" s="117">
        <v>0</v>
      </c>
      <c r="G89" s="117">
        <v>0</v>
      </c>
      <c r="H89" s="134">
        <v>0</v>
      </c>
      <c r="I89" s="117">
        <v>0</v>
      </c>
      <c r="J89" s="117">
        <v>0</v>
      </c>
      <c r="K89" s="33">
        <v>0</v>
      </c>
      <c r="L89" s="117">
        <v>0</v>
      </c>
      <c r="M89" s="117">
        <v>0</v>
      </c>
      <c r="N89" s="33">
        <f t="shared" si="2"/>
        <v>0</v>
      </c>
    </row>
    <row r="90" spans="1:14">
      <c r="A90" s="5" t="s">
        <v>226</v>
      </c>
      <c r="B90" s="6" t="s">
        <v>235</v>
      </c>
      <c r="C90" s="6"/>
      <c r="D90" s="7" t="s">
        <v>28</v>
      </c>
      <c r="E90" s="117">
        <v>106000</v>
      </c>
      <c r="F90" s="117">
        <v>160000</v>
      </c>
      <c r="G90" s="117">
        <v>370000</v>
      </c>
      <c r="H90" s="134">
        <v>404000</v>
      </c>
      <c r="I90" s="117">
        <v>313000</v>
      </c>
      <c r="J90" s="117">
        <v>352000</v>
      </c>
      <c r="K90" s="33">
        <v>160000</v>
      </c>
      <c r="L90" s="117">
        <v>192000</v>
      </c>
      <c r="M90" s="117">
        <v>106000</v>
      </c>
      <c r="N90" s="33">
        <f t="shared" si="2"/>
        <v>2163000</v>
      </c>
    </row>
    <row r="91" spans="1:14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117">
        <v>106000</v>
      </c>
      <c r="F91" s="117">
        <v>160000</v>
      </c>
      <c r="G91" s="117">
        <v>370000</v>
      </c>
      <c r="H91" s="134">
        <v>404000</v>
      </c>
      <c r="I91" s="117">
        <v>313000</v>
      </c>
      <c r="J91" s="117">
        <v>352000</v>
      </c>
      <c r="K91" s="33">
        <v>160000</v>
      </c>
      <c r="L91" s="117">
        <v>192000</v>
      </c>
      <c r="M91" s="117">
        <v>106000</v>
      </c>
      <c r="N91" s="33">
        <f t="shared" si="2"/>
        <v>2163000</v>
      </c>
    </row>
    <row r="92" spans="1:14" ht="12" thickTop="1">
      <c r="A92" s="5" t="s">
        <v>232</v>
      </c>
      <c r="B92" s="28" t="s">
        <v>240</v>
      </c>
      <c r="C92" s="28"/>
      <c r="D92" s="29"/>
      <c r="E92" s="117">
        <v>0</v>
      </c>
      <c r="F92" s="117">
        <v>0</v>
      </c>
      <c r="G92" s="117">
        <v>0</v>
      </c>
      <c r="H92" s="134">
        <v>0</v>
      </c>
      <c r="I92" s="117">
        <v>0</v>
      </c>
      <c r="J92" s="117">
        <v>0</v>
      </c>
      <c r="K92" s="33">
        <v>0</v>
      </c>
      <c r="L92" s="117">
        <v>0</v>
      </c>
      <c r="M92" s="117">
        <v>0</v>
      </c>
      <c r="N92" s="123">
        <f t="shared" si="2"/>
        <v>0</v>
      </c>
    </row>
    <row r="93" spans="1:14" ht="22.5">
      <c r="A93" s="5" t="s">
        <v>234</v>
      </c>
      <c r="B93" s="6" t="s">
        <v>242</v>
      </c>
      <c r="C93" s="6"/>
      <c r="D93" s="7" t="s">
        <v>243</v>
      </c>
      <c r="E93" s="117">
        <v>271</v>
      </c>
      <c r="F93" s="117">
        <v>284</v>
      </c>
      <c r="G93" s="117">
        <v>1715</v>
      </c>
      <c r="H93" s="134">
        <v>1012</v>
      </c>
      <c r="I93" s="117">
        <v>949</v>
      </c>
      <c r="J93" s="117">
        <v>662</v>
      </c>
      <c r="K93" s="33">
        <v>587</v>
      </c>
      <c r="L93" s="117">
        <v>1071</v>
      </c>
      <c r="M93" s="117">
        <v>593</v>
      </c>
      <c r="N93" s="123">
        <f t="shared" si="2"/>
        <v>7144</v>
      </c>
    </row>
    <row r="94" spans="1:14">
      <c r="A94" s="5" t="s">
        <v>236</v>
      </c>
      <c r="B94" s="32" t="s">
        <v>245</v>
      </c>
      <c r="C94" s="32"/>
      <c r="D94" s="15"/>
      <c r="E94" s="117">
        <v>55</v>
      </c>
      <c r="F94" s="117">
        <v>80</v>
      </c>
      <c r="G94" s="117">
        <v>589</v>
      </c>
      <c r="H94" s="134">
        <v>285</v>
      </c>
      <c r="I94" s="117">
        <v>279</v>
      </c>
      <c r="J94" s="117">
        <v>185</v>
      </c>
      <c r="K94" s="33">
        <v>198</v>
      </c>
      <c r="L94" s="117">
        <v>403</v>
      </c>
      <c r="M94" s="117">
        <v>196</v>
      </c>
      <c r="N94" s="123">
        <f t="shared" si="2"/>
        <v>2270</v>
      </c>
    </row>
    <row r="95" spans="1:14">
      <c r="A95" s="5" t="s">
        <v>239</v>
      </c>
      <c r="B95" s="32" t="s">
        <v>247</v>
      </c>
      <c r="C95" s="32"/>
      <c r="D95" s="7"/>
      <c r="E95" s="117">
        <v>66</v>
      </c>
      <c r="F95" s="117">
        <v>100</v>
      </c>
      <c r="G95" s="117">
        <v>734</v>
      </c>
      <c r="H95" s="134">
        <v>410</v>
      </c>
      <c r="I95" s="117">
        <v>336</v>
      </c>
      <c r="J95" s="117">
        <v>274</v>
      </c>
      <c r="K95" s="33">
        <v>214</v>
      </c>
      <c r="L95" s="117">
        <v>427</v>
      </c>
      <c r="M95" s="117">
        <v>210</v>
      </c>
      <c r="N95" s="123">
        <f t="shared" si="2"/>
        <v>2771</v>
      </c>
    </row>
    <row r="96" spans="1:14">
      <c r="A96" s="5" t="s">
        <v>241</v>
      </c>
      <c r="B96" s="32" t="s">
        <v>249</v>
      </c>
      <c r="C96" s="32"/>
      <c r="D96" s="15"/>
      <c r="E96" s="117">
        <v>144</v>
      </c>
      <c r="F96" s="117">
        <v>99</v>
      </c>
      <c r="G96" s="117">
        <v>385</v>
      </c>
      <c r="H96" s="134">
        <v>311</v>
      </c>
      <c r="I96" s="117">
        <v>330</v>
      </c>
      <c r="J96" s="117">
        <v>195</v>
      </c>
      <c r="K96" s="33">
        <v>168</v>
      </c>
      <c r="L96" s="117">
        <v>236</v>
      </c>
      <c r="M96" s="117">
        <v>186</v>
      </c>
      <c r="N96" s="123">
        <f t="shared" si="2"/>
        <v>2054</v>
      </c>
    </row>
    <row r="97" spans="1:14">
      <c r="A97" s="5" t="s">
        <v>244</v>
      </c>
      <c r="B97" s="32" t="s">
        <v>251</v>
      </c>
      <c r="C97" s="32"/>
      <c r="D97" s="15"/>
      <c r="E97" s="117">
        <v>6</v>
      </c>
      <c r="F97" s="117">
        <v>5</v>
      </c>
      <c r="G97" s="117">
        <v>7</v>
      </c>
      <c r="H97" s="134">
        <v>6</v>
      </c>
      <c r="I97" s="117">
        <v>4</v>
      </c>
      <c r="J97" s="117">
        <v>8</v>
      </c>
      <c r="K97" s="33">
        <v>7</v>
      </c>
      <c r="L97" s="117">
        <v>5</v>
      </c>
      <c r="M97" s="117">
        <v>1</v>
      </c>
      <c r="N97" s="123">
        <f t="shared" si="2"/>
        <v>49</v>
      </c>
    </row>
    <row r="98" spans="1:14" ht="22.5">
      <c r="A98" s="5" t="s">
        <v>246</v>
      </c>
      <c r="B98" s="6" t="s">
        <v>253</v>
      </c>
      <c r="C98" s="6"/>
      <c r="D98" s="7" t="s">
        <v>254</v>
      </c>
      <c r="E98" s="117">
        <v>2901</v>
      </c>
      <c r="F98" s="117">
        <v>3148</v>
      </c>
      <c r="G98" s="117">
        <v>23120</v>
      </c>
      <c r="H98" s="134">
        <v>13841</v>
      </c>
      <c r="I98" s="117">
        <v>10640</v>
      </c>
      <c r="J98" s="117">
        <v>8603</v>
      </c>
      <c r="K98" s="33">
        <v>7282</v>
      </c>
      <c r="L98" s="117">
        <v>13256</v>
      </c>
      <c r="M98" s="117">
        <v>6367</v>
      </c>
      <c r="N98" s="123">
        <f t="shared" si="2"/>
        <v>89158</v>
      </c>
    </row>
    <row r="99" spans="1:14">
      <c r="A99" s="5" t="s">
        <v>248</v>
      </c>
      <c r="B99" s="32" t="s">
        <v>245</v>
      </c>
      <c r="C99" s="32"/>
      <c r="D99" s="15"/>
      <c r="E99" s="117">
        <v>593</v>
      </c>
      <c r="F99" s="117">
        <v>688</v>
      </c>
      <c r="G99" s="117">
        <v>7183</v>
      </c>
      <c r="H99" s="134">
        <v>3376</v>
      </c>
      <c r="I99" s="117">
        <v>2948</v>
      </c>
      <c r="J99" s="117">
        <v>2047</v>
      </c>
      <c r="K99" s="33">
        <v>2435</v>
      </c>
      <c r="L99" s="117">
        <v>3640</v>
      </c>
      <c r="M99" s="117">
        <v>1708</v>
      </c>
      <c r="N99" s="123">
        <f t="shared" si="2"/>
        <v>24618</v>
      </c>
    </row>
    <row r="100" spans="1:14">
      <c r="A100" s="5" t="s">
        <v>250</v>
      </c>
      <c r="B100" s="32" t="s">
        <v>247</v>
      </c>
      <c r="C100" s="32"/>
      <c r="D100" s="7"/>
      <c r="E100" s="117">
        <v>816</v>
      </c>
      <c r="F100" s="117">
        <v>1361</v>
      </c>
      <c r="G100" s="117">
        <v>11593</v>
      </c>
      <c r="H100" s="134">
        <v>6220</v>
      </c>
      <c r="I100" s="117">
        <v>3921</v>
      </c>
      <c r="J100" s="117">
        <v>3871</v>
      </c>
      <c r="K100" s="33">
        <v>2906</v>
      </c>
      <c r="L100" s="117">
        <v>6831</v>
      </c>
      <c r="M100" s="117">
        <v>2937</v>
      </c>
      <c r="N100" s="123">
        <f t="shared" si="2"/>
        <v>40456</v>
      </c>
    </row>
    <row r="101" spans="1:14">
      <c r="A101" s="5" t="s">
        <v>252</v>
      </c>
      <c r="B101" s="32" t="s">
        <v>249</v>
      </c>
      <c r="C101" s="32"/>
      <c r="D101" s="15"/>
      <c r="E101" s="117">
        <v>1492</v>
      </c>
      <c r="F101" s="117">
        <v>1099</v>
      </c>
      <c r="G101" s="117">
        <v>4344</v>
      </c>
      <c r="H101" s="134">
        <v>4245</v>
      </c>
      <c r="I101" s="117">
        <v>3771</v>
      </c>
      <c r="J101" s="117">
        <v>2685</v>
      </c>
      <c r="K101" s="33">
        <v>1941</v>
      </c>
      <c r="L101" s="117">
        <v>2785</v>
      </c>
      <c r="M101" s="117">
        <v>1722</v>
      </c>
      <c r="N101" s="123">
        <f t="shared" si="2"/>
        <v>24084</v>
      </c>
    </row>
    <row r="102" spans="1:14">
      <c r="A102" s="5" t="s">
        <v>255</v>
      </c>
      <c r="B102" s="32" t="s">
        <v>251</v>
      </c>
      <c r="C102" s="32"/>
      <c r="D102" s="15"/>
      <c r="E102" s="117">
        <v>0</v>
      </c>
      <c r="F102" s="117">
        <v>0</v>
      </c>
      <c r="G102" s="117">
        <v>0</v>
      </c>
      <c r="H102" s="134">
        <v>0</v>
      </c>
      <c r="I102" s="117">
        <v>0</v>
      </c>
      <c r="J102" s="117">
        <v>0</v>
      </c>
      <c r="K102" s="33">
        <v>0</v>
      </c>
      <c r="L102" s="117">
        <v>0</v>
      </c>
      <c r="M102" s="117">
        <v>0</v>
      </c>
      <c r="N102" s="123">
        <f t="shared" si="2"/>
        <v>0</v>
      </c>
    </row>
    <row r="103" spans="1:14">
      <c r="A103" s="5" t="s">
        <v>256</v>
      </c>
      <c r="B103" s="6" t="s">
        <v>260</v>
      </c>
      <c r="C103" s="6"/>
      <c r="D103" s="20"/>
      <c r="E103" s="117">
        <v>0</v>
      </c>
      <c r="F103" s="117">
        <v>0</v>
      </c>
      <c r="G103" s="117">
        <v>0</v>
      </c>
      <c r="H103" s="134">
        <v>0</v>
      </c>
      <c r="I103" s="117">
        <v>0</v>
      </c>
      <c r="J103" s="117">
        <v>0</v>
      </c>
      <c r="K103" s="33">
        <v>1</v>
      </c>
      <c r="L103" s="117">
        <v>0</v>
      </c>
      <c r="M103" s="117">
        <v>0</v>
      </c>
      <c r="N103" s="123">
        <f t="shared" si="2"/>
        <v>1</v>
      </c>
    </row>
    <row r="104" spans="1:14">
      <c r="A104" s="5" t="s">
        <v>257</v>
      </c>
      <c r="B104" s="6" t="s">
        <v>261</v>
      </c>
      <c r="C104" s="6"/>
      <c r="D104" s="7"/>
      <c r="E104" s="117">
        <v>102</v>
      </c>
      <c r="F104" s="117">
        <v>139</v>
      </c>
      <c r="G104" s="117">
        <v>522</v>
      </c>
      <c r="H104" s="134">
        <v>399</v>
      </c>
      <c r="I104" s="117">
        <v>398</v>
      </c>
      <c r="J104" s="117">
        <v>202</v>
      </c>
      <c r="K104" s="33">
        <v>416</v>
      </c>
      <c r="L104" s="117">
        <v>328</v>
      </c>
      <c r="M104" s="117">
        <v>338</v>
      </c>
      <c r="N104" s="123">
        <f t="shared" si="2"/>
        <v>2844</v>
      </c>
    </row>
    <row r="105" spans="1:14">
      <c r="A105" s="5" t="s">
        <v>258</v>
      </c>
      <c r="B105" s="32" t="s">
        <v>262</v>
      </c>
      <c r="C105" s="32"/>
      <c r="D105" s="20"/>
      <c r="E105" s="117">
        <v>54731.920000000006</v>
      </c>
      <c r="F105" s="117">
        <v>87153.91</v>
      </c>
      <c r="G105" s="117">
        <v>240995.37999999998</v>
      </c>
      <c r="H105" s="134">
        <v>280263.55000000005</v>
      </c>
      <c r="I105" s="117">
        <v>177936.23</v>
      </c>
      <c r="J105" s="117">
        <v>141174.47999999998</v>
      </c>
      <c r="K105" s="33">
        <v>91156.37999999999</v>
      </c>
      <c r="L105" s="117">
        <v>210929.47000000003</v>
      </c>
      <c r="M105" s="117">
        <v>99990.719999999987</v>
      </c>
      <c r="N105" s="33">
        <f t="shared" si="2"/>
        <v>1384332.0399999998</v>
      </c>
    </row>
    <row r="106" spans="1:14">
      <c r="A106" s="5" t="s">
        <v>259</v>
      </c>
      <c r="B106" s="32" t="s">
        <v>263</v>
      </c>
      <c r="C106" s="32"/>
      <c r="D106" s="20"/>
      <c r="E106" s="33">
        <v>26949</v>
      </c>
      <c r="F106" s="33">
        <v>52069</v>
      </c>
      <c r="G106" s="33">
        <v>112257.7</v>
      </c>
      <c r="H106" s="136">
        <v>163062.88999999998</v>
      </c>
      <c r="I106" s="33">
        <v>88290.2</v>
      </c>
      <c r="J106" s="33">
        <v>75146.3</v>
      </c>
      <c r="K106" s="33">
        <v>66948.600000000006</v>
      </c>
      <c r="L106" s="33">
        <v>129073</v>
      </c>
      <c r="M106" s="33">
        <v>41291.56</v>
      </c>
      <c r="N106" s="33">
        <f t="shared" si="2"/>
        <v>755088.25</v>
      </c>
    </row>
    <row r="107" spans="1:14">
      <c r="E107" s="1">
        <f>E4/E93</f>
        <v>339125.36564575648</v>
      </c>
      <c r="F107" s="1">
        <f t="shared" ref="F107:N107" si="3">F4/F93</f>
        <v>339683.66221830988</v>
      </c>
      <c r="G107" s="1">
        <f t="shared" si="3"/>
        <v>342812.64962099126</v>
      </c>
      <c r="H107" s="1">
        <f t="shared" si="3"/>
        <v>332125.82197628461</v>
      </c>
      <c r="I107" s="1">
        <f t="shared" si="3"/>
        <v>337037.19229715492</v>
      </c>
      <c r="J107" s="1">
        <f t="shared" si="3"/>
        <v>338868.77250755287</v>
      </c>
      <c r="K107" s="1">
        <f t="shared" si="3"/>
        <v>347377.01085178874</v>
      </c>
      <c r="L107" s="1">
        <f t="shared" si="3"/>
        <v>340809.47637721756</v>
      </c>
      <c r="M107" s="1">
        <f t="shared" si="3"/>
        <v>341163.79136593593</v>
      </c>
      <c r="N107" s="1">
        <f t="shared" si="3"/>
        <v>339839.72086226207</v>
      </c>
    </row>
  </sheetData>
  <protectedRanges>
    <protectedRange password="E9C1" sqref="D28 A2:D5 B6:D2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N1"/>
  </mergeCells>
  <phoneticPr fontId="3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30"/>
  <sheetViews>
    <sheetView workbookViewId="0">
      <pane xSplit="2" ySplit="3" topLeftCell="C52" activePane="bottomRight" state="frozen"/>
      <selection pane="topRight" activeCell="C1" sqref="C1"/>
      <selection pane="bottomLeft" activeCell="A4" sqref="A4"/>
      <selection pane="bottomRight" activeCell="H3" sqref="H1:H1048576"/>
    </sheetView>
  </sheetViews>
  <sheetFormatPr defaultRowHeight="13.5"/>
  <cols>
    <col min="1" max="1" width="0" hidden="1" customWidth="1"/>
    <col min="2" max="2" width="25.625" customWidth="1"/>
    <col min="3" max="3" width="6.5" customWidth="1"/>
    <col min="6" max="6" width="12.875" customWidth="1"/>
    <col min="7" max="7" width="13" style="155" customWidth="1"/>
    <col min="8" max="8" width="10.5" bestFit="1" customWidth="1"/>
    <col min="9" max="9" width="12.25" bestFit="1" customWidth="1"/>
    <col min="10" max="10" width="12.375" customWidth="1"/>
    <col min="11" max="12" width="10.5" bestFit="1" customWidth="1"/>
    <col min="13" max="13" width="15" bestFit="1" customWidth="1"/>
    <col min="14" max="14" width="12.125" customWidth="1"/>
    <col min="15" max="15" width="12.25" customWidth="1"/>
    <col min="16" max="16" width="10.5" bestFit="1" customWidth="1"/>
    <col min="17" max="17" width="11.625" bestFit="1" customWidth="1"/>
  </cols>
  <sheetData>
    <row r="1" spans="1:17" ht="20.25">
      <c r="A1" s="336" t="s">
        <v>663</v>
      </c>
      <c r="B1" s="337"/>
      <c r="C1" s="337"/>
      <c r="D1" s="337"/>
      <c r="E1" s="337"/>
      <c r="F1" s="337"/>
      <c r="G1" s="337"/>
      <c r="H1" s="337"/>
      <c r="I1" s="337"/>
      <c r="J1" s="337"/>
      <c r="K1" s="337"/>
      <c r="L1" s="337"/>
      <c r="M1" s="337"/>
      <c r="N1" s="337"/>
      <c r="O1" s="337"/>
      <c r="P1" s="337"/>
      <c r="Q1" s="337"/>
    </row>
    <row r="2" spans="1:17" s="155" customFormat="1">
      <c r="A2" s="338" t="s">
        <v>593</v>
      </c>
      <c r="B2" s="340" t="s">
        <v>634</v>
      </c>
      <c r="C2" s="340" t="s">
        <v>1</v>
      </c>
      <c r="D2" s="341" t="s">
        <v>635</v>
      </c>
      <c r="E2" s="342" t="s">
        <v>636</v>
      </c>
      <c r="F2" s="334" t="s">
        <v>652</v>
      </c>
      <c r="G2" s="335"/>
      <c r="H2" s="335"/>
      <c r="I2" s="335"/>
      <c r="J2" s="334" t="s">
        <v>651</v>
      </c>
      <c r="K2" s="335"/>
      <c r="L2" s="335"/>
      <c r="M2" s="335"/>
      <c r="N2" s="334" t="s">
        <v>665</v>
      </c>
      <c r="O2" s="335"/>
      <c r="P2" s="335"/>
      <c r="Q2" s="335"/>
    </row>
    <row r="3" spans="1:17" ht="22.5">
      <c r="A3" s="339"/>
      <c r="B3" s="339"/>
      <c r="C3" s="339"/>
      <c r="D3" s="339"/>
      <c r="E3" s="339"/>
      <c r="F3" s="158" t="s">
        <v>653</v>
      </c>
      <c r="G3" s="157" t="s">
        <v>650</v>
      </c>
      <c r="H3" s="160" t="s">
        <v>637</v>
      </c>
      <c r="I3" s="160" t="s">
        <v>638</v>
      </c>
      <c r="J3" s="158" t="s">
        <v>653</v>
      </c>
      <c r="K3" s="157" t="s">
        <v>650</v>
      </c>
      <c r="L3" s="160" t="s">
        <v>637</v>
      </c>
      <c r="M3" s="160" t="s">
        <v>638</v>
      </c>
      <c r="N3" s="158" t="s">
        <v>653</v>
      </c>
      <c r="O3" s="157" t="s">
        <v>650</v>
      </c>
      <c r="P3" s="160" t="s">
        <v>637</v>
      </c>
      <c r="Q3" s="160" t="s">
        <v>638</v>
      </c>
    </row>
    <row r="4" spans="1:17" s="161" customFormat="1" ht="20.100000000000001" customHeight="1">
      <c r="A4" s="160" t="s">
        <v>534</v>
      </c>
      <c r="B4" s="159" t="s">
        <v>460</v>
      </c>
      <c r="C4" s="159">
        <v>1</v>
      </c>
      <c r="D4" s="159" t="s">
        <v>639</v>
      </c>
      <c r="E4" s="159" t="s">
        <v>377</v>
      </c>
      <c r="F4" s="165">
        <v>23856797</v>
      </c>
      <c r="G4" s="165">
        <v>593664</v>
      </c>
      <c r="H4" s="164">
        <v>777582</v>
      </c>
      <c r="I4" s="164">
        <f>F4+H4</f>
        <v>24634379</v>
      </c>
      <c r="J4" s="166">
        <v>23983700</v>
      </c>
      <c r="K4" s="166">
        <v>472944</v>
      </c>
      <c r="L4" s="166">
        <v>575905.04</v>
      </c>
      <c r="M4" s="166">
        <f>J4+L4</f>
        <v>24559605.039999999</v>
      </c>
      <c r="N4" s="166">
        <f>F4-J4</f>
        <v>-126903</v>
      </c>
      <c r="O4" s="166">
        <f t="shared" ref="O4:Q21" si="0">G4-K4</f>
        <v>120720</v>
      </c>
      <c r="P4" s="166">
        <f t="shared" si="0"/>
        <v>201676.95999999996</v>
      </c>
      <c r="Q4" s="166">
        <f t="shared" si="0"/>
        <v>74773.960000000894</v>
      </c>
    </row>
    <row r="5" spans="1:17" s="161" customFormat="1" ht="20.100000000000001" customHeight="1">
      <c r="A5" s="152" t="s">
        <v>534</v>
      </c>
      <c r="B5" s="159" t="s">
        <v>465</v>
      </c>
      <c r="C5" s="159">
        <v>2</v>
      </c>
      <c r="D5" s="159" t="s">
        <v>640</v>
      </c>
      <c r="E5" s="159" t="s">
        <v>641</v>
      </c>
      <c r="F5" s="165">
        <v>1240500</v>
      </c>
      <c r="G5" s="165">
        <v>0</v>
      </c>
      <c r="H5" s="164"/>
      <c r="I5" s="164">
        <f t="shared" ref="I5:I72" si="1">F5+H5</f>
        <v>1240500</v>
      </c>
      <c r="J5" s="166">
        <v>1099200</v>
      </c>
      <c r="K5" s="166"/>
      <c r="L5" s="166"/>
      <c r="M5" s="166">
        <f t="shared" ref="M5:M72" si="2">J5+L5</f>
        <v>1099200</v>
      </c>
      <c r="N5" s="166">
        <f t="shared" ref="N5:Q72" si="3">F5-J5</f>
        <v>141300</v>
      </c>
      <c r="O5" s="166">
        <f t="shared" si="0"/>
        <v>0</v>
      </c>
      <c r="P5" s="166">
        <f t="shared" si="0"/>
        <v>0</v>
      </c>
      <c r="Q5" s="166">
        <f t="shared" si="0"/>
        <v>141300</v>
      </c>
    </row>
    <row r="6" spans="1:17" s="161" customFormat="1" ht="20.100000000000001" customHeight="1">
      <c r="A6" s="152" t="s">
        <v>534</v>
      </c>
      <c r="B6" s="159" t="s">
        <v>462</v>
      </c>
      <c r="C6" s="159">
        <v>3</v>
      </c>
      <c r="D6" s="159" t="s">
        <v>640</v>
      </c>
      <c r="E6" s="159" t="s">
        <v>382</v>
      </c>
      <c r="F6" s="165">
        <v>11814609</v>
      </c>
      <c r="G6" s="165">
        <v>511984</v>
      </c>
      <c r="H6" s="164"/>
      <c r="I6" s="164">
        <f t="shared" si="1"/>
        <v>11814609</v>
      </c>
      <c r="J6" s="166">
        <v>12179300</v>
      </c>
      <c r="K6" s="166">
        <v>386224</v>
      </c>
      <c r="L6" s="166"/>
      <c r="M6" s="166">
        <f t="shared" si="2"/>
        <v>12179300</v>
      </c>
      <c r="N6" s="166">
        <f t="shared" si="3"/>
        <v>-364691</v>
      </c>
      <c r="O6" s="166">
        <f t="shared" si="0"/>
        <v>125760</v>
      </c>
      <c r="P6" s="166">
        <f t="shared" si="0"/>
        <v>0</v>
      </c>
      <c r="Q6" s="166">
        <f t="shared" si="0"/>
        <v>-364691</v>
      </c>
    </row>
    <row r="7" spans="1:17" s="161" customFormat="1" ht="20.100000000000001" customHeight="1">
      <c r="A7" s="152" t="s">
        <v>534</v>
      </c>
      <c r="B7" s="159" t="s">
        <v>463</v>
      </c>
      <c r="C7" s="159">
        <v>4</v>
      </c>
      <c r="D7" s="159" t="s">
        <v>640</v>
      </c>
      <c r="E7" s="159" t="s">
        <v>382</v>
      </c>
      <c r="F7" s="165">
        <v>7907779</v>
      </c>
      <c r="G7" s="165">
        <v>246344</v>
      </c>
      <c r="H7" s="164"/>
      <c r="I7" s="164">
        <f t="shared" si="1"/>
        <v>7907779</v>
      </c>
      <c r="J7" s="166">
        <v>8267700</v>
      </c>
      <c r="K7" s="166">
        <v>186344</v>
      </c>
      <c r="L7" s="166"/>
      <c r="M7" s="166">
        <f t="shared" si="2"/>
        <v>8267700</v>
      </c>
      <c r="N7" s="166">
        <f t="shared" si="3"/>
        <v>-359921</v>
      </c>
      <c r="O7" s="166">
        <f t="shared" si="0"/>
        <v>60000</v>
      </c>
      <c r="P7" s="166">
        <f t="shared" si="0"/>
        <v>0</v>
      </c>
      <c r="Q7" s="166">
        <f t="shared" si="0"/>
        <v>-359921</v>
      </c>
    </row>
    <row r="8" spans="1:17" s="161" customFormat="1" ht="20.100000000000001" customHeight="1">
      <c r="A8" s="152" t="s">
        <v>534</v>
      </c>
      <c r="B8" s="158" t="s">
        <v>464</v>
      </c>
      <c r="C8" s="159">
        <v>5</v>
      </c>
      <c r="D8" s="159" t="s">
        <v>640</v>
      </c>
      <c r="E8" s="159" t="s">
        <v>382</v>
      </c>
      <c r="F8" s="165">
        <v>4131563</v>
      </c>
      <c r="G8" s="165">
        <v>0</v>
      </c>
      <c r="H8" s="164"/>
      <c r="I8" s="164">
        <f t="shared" si="1"/>
        <v>4131563</v>
      </c>
      <c r="J8" s="166">
        <v>4356100</v>
      </c>
      <c r="K8" s="166"/>
      <c r="L8" s="166"/>
      <c r="M8" s="166">
        <f t="shared" si="2"/>
        <v>4356100</v>
      </c>
      <c r="N8" s="166">
        <f t="shared" si="3"/>
        <v>-224537</v>
      </c>
      <c r="O8" s="166">
        <f t="shared" si="0"/>
        <v>0</v>
      </c>
      <c r="P8" s="166">
        <f t="shared" si="0"/>
        <v>0</v>
      </c>
      <c r="Q8" s="166">
        <f t="shared" si="0"/>
        <v>-224537</v>
      </c>
    </row>
    <row r="9" spans="1:17" s="161" customFormat="1" ht="20.100000000000001" customHeight="1">
      <c r="A9" s="152"/>
      <c r="B9" s="158" t="s">
        <v>654</v>
      </c>
      <c r="C9" s="159"/>
      <c r="D9" s="159"/>
      <c r="E9" s="159"/>
      <c r="F9" s="165">
        <f>SUM(F4:F8)</f>
        <v>48951248</v>
      </c>
      <c r="G9" s="165">
        <f t="shared" ref="G9:Q9" si="4">SUM(G4:G8)</f>
        <v>1351992</v>
      </c>
      <c r="H9" s="165">
        <f t="shared" si="4"/>
        <v>777582</v>
      </c>
      <c r="I9" s="165">
        <f t="shared" si="4"/>
        <v>49728830</v>
      </c>
      <c r="J9" s="165">
        <f t="shared" si="4"/>
        <v>49886000</v>
      </c>
      <c r="K9" s="165">
        <f t="shared" si="4"/>
        <v>1045512</v>
      </c>
      <c r="L9" s="165">
        <f t="shared" si="4"/>
        <v>575905.04</v>
      </c>
      <c r="M9" s="165">
        <f t="shared" si="4"/>
        <v>50461905.039999999</v>
      </c>
      <c r="N9" s="165">
        <f t="shared" si="4"/>
        <v>-934752</v>
      </c>
      <c r="O9" s="165">
        <f t="shared" si="4"/>
        <v>306480</v>
      </c>
      <c r="P9" s="165">
        <f t="shared" si="4"/>
        <v>201676.95999999996</v>
      </c>
      <c r="Q9" s="165">
        <f t="shared" si="4"/>
        <v>-733075.03999999911</v>
      </c>
    </row>
    <row r="10" spans="1:17" s="161" customFormat="1" ht="20.100000000000001" customHeight="1">
      <c r="A10" s="152" t="s">
        <v>535</v>
      </c>
      <c r="B10" s="159" t="s">
        <v>467</v>
      </c>
      <c r="C10" s="159">
        <v>1</v>
      </c>
      <c r="D10" s="159" t="s">
        <v>639</v>
      </c>
      <c r="E10" s="159" t="s">
        <v>374</v>
      </c>
      <c r="F10" s="165">
        <v>15683791</v>
      </c>
      <c r="G10" s="165">
        <v>612516</v>
      </c>
      <c r="H10" s="164">
        <v>712434.5</v>
      </c>
      <c r="I10" s="164">
        <f t="shared" si="1"/>
        <v>16396225.5</v>
      </c>
      <c r="J10" s="166">
        <v>15536000</v>
      </c>
      <c r="K10" s="166">
        <v>502516</v>
      </c>
      <c r="L10" s="166">
        <v>281208.42</v>
      </c>
      <c r="M10" s="166">
        <f t="shared" si="2"/>
        <v>15817208.42</v>
      </c>
      <c r="N10" s="166">
        <f t="shared" si="3"/>
        <v>147791</v>
      </c>
      <c r="O10" s="166">
        <f t="shared" si="0"/>
        <v>110000</v>
      </c>
      <c r="P10" s="166">
        <f t="shared" si="0"/>
        <v>431226.08</v>
      </c>
      <c r="Q10" s="166">
        <f t="shared" si="0"/>
        <v>579017.08000000007</v>
      </c>
    </row>
    <row r="11" spans="1:17" s="161" customFormat="1" ht="20.100000000000001" customHeight="1">
      <c r="A11" s="152" t="s">
        <v>535</v>
      </c>
      <c r="B11" s="159" t="s">
        <v>329</v>
      </c>
      <c r="C11" s="159">
        <v>2</v>
      </c>
      <c r="D11" s="159" t="s">
        <v>639</v>
      </c>
      <c r="E11" s="159" t="s">
        <v>379</v>
      </c>
      <c r="F11" s="165">
        <v>12725191</v>
      </c>
      <c r="G11" s="165">
        <v>556056</v>
      </c>
      <c r="H11" s="164">
        <v>475539</v>
      </c>
      <c r="I11" s="164">
        <f t="shared" si="1"/>
        <v>13200730</v>
      </c>
      <c r="J11" s="166">
        <v>13108500</v>
      </c>
      <c r="K11" s="166">
        <v>436056</v>
      </c>
      <c r="L11" s="166">
        <v>386252.85</v>
      </c>
      <c r="M11" s="166">
        <f t="shared" si="2"/>
        <v>13494752.85</v>
      </c>
      <c r="N11" s="166">
        <f t="shared" si="3"/>
        <v>-383309</v>
      </c>
      <c r="O11" s="166">
        <f t="shared" si="0"/>
        <v>120000</v>
      </c>
      <c r="P11" s="166">
        <f t="shared" si="0"/>
        <v>89286.150000000023</v>
      </c>
      <c r="Q11" s="166">
        <f t="shared" si="0"/>
        <v>-294022.84999999963</v>
      </c>
    </row>
    <row r="12" spans="1:17" s="161" customFormat="1" ht="20.100000000000001" customHeight="1">
      <c r="A12" s="152" t="s">
        <v>535</v>
      </c>
      <c r="B12" s="159" t="s">
        <v>330</v>
      </c>
      <c r="C12" s="159">
        <v>3</v>
      </c>
      <c r="D12" s="159" t="s">
        <v>639</v>
      </c>
      <c r="E12" s="159" t="s">
        <v>379</v>
      </c>
      <c r="F12" s="165">
        <v>4851800</v>
      </c>
      <c r="G12" s="165">
        <v>239312</v>
      </c>
      <c r="H12" s="164">
        <v>218234.5</v>
      </c>
      <c r="I12" s="164">
        <f t="shared" si="1"/>
        <v>5070034.5</v>
      </c>
      <c r="J12" s="166">
        <v>5146300</v>
      </c>
      <c r="K12" s="166">
        <v>178592</v>
      </c>
      <c r="L12" s="166">
        <v>170033</v>
      </c>
      <c r="M12" s="166">
        <f t="shared" si="2"/>
        <v>5316333</v>
      </c>
      <c r="N12" s="166">
        <f t="shared" si="3"/>
        <v>-294500</v>
      </c>
      <c r="O12" s="166">
        <f t="shared" si="0"/>
        <v>60720</v>
      </c>
      <c r="P12" s="166">
        <f t="shared" si="0"/>
        <v>48201.5</v>
      </c>
      <c r="Q12" s="166">
        <f t="shared" si="0"/>
        <v>-246298.5</v>
      </c>
    </row>
    <row r="13" spans="1:17" s="161" customFormat="1" ht="20.100000000000001" customHeight="1">
      <c r="A13" s="152" t="s">
        <v>535</v>
      </c>
      <c r="B13" s="159" t="s">
        <v>334</v>
      </c>
      <c r="C13" s="159">
        <v>4</v>
      </c>
      <c r="D13" s="159" t="s">
        <v>640</v>
      </c>
      <c r="E13" s="159" t="s">
        <v>641</v>
      </c>
      <c r="F13" s="165">
        <v>1050000</v>
      </c>
      <c r="G13" s="165">
        <v>0</v>
      </c>
      <c r="H13" s="164"/>
      <c r="I13" s="164">
        <f t="shared" si="1"/>
        <v>1050000</v>
      </c>
      <c r="J13" s="166">
        <v>916000</v>
      </c>
      <c r="K13" s="166"/>
      <c r="L13" s="166"/>
      <c r="M13" s="166">
        <f t="shared" si="2"/>
        <v>916000</v>
      </c>
      <c r="N13" s="166">
        <f t="shared" si="3"/>
        <v>134000</v>
      </c>
      <c r="O13" s="166">
        <f t="shared" si="0"/>
        <v>0</v>
      </c>
      <c r="P13" s="166">
        <f t="shared" si="0"/>
        <v>0</v>
      </c>
      <c r="Q13" s="166">
        <f t="shared" si="0"/>
        <v>134000</v>
      </c>
    </row>
    <row r="14" spans="1:17" s="161" customFormat="1" ht="20.100000000000001" customHeight="1">
      <c r="A14" s="152" t="s">
        <v>535</v>
      </c>
      <c r="B14" s="159" t="s">
        <v>331</v>
      </c>
      <c r="C14" s="159">
        <v>5</v>
      </c>
      <c r="D14" s="159" t="s">
        <v>640</v>
      </c>
      <c r="E14" s="159" t="s">
        <v>382</v>
      </c>
      <c r="F14" s="165">
        <v>2568300</v>
      </c>
      <c r="G14" s="165">
        <v>0</v>
      </c>
      <c r="H14" s="164"/>
      <c r="I14" s="164">
        <f t="shared" si="1"/>
        <v>2568300</v>
      </c>
      <c r="J14" s="166">
        <v>2844800</v>
      </c>
      <c r="K14" s="166"/>
      <c r="L14" s="166"/>
      <c r="M14" s="166">
        <f t="shared" si="2"/>
        <v>2844800</v>
      </c>
      <c r="N14" s="166">
        <f t="shared" si="3"/>
        <v>-276500</v>
      </c>
      <c r="O14" s="166">
        <f t="shared" si="0"/>
        <v>0</v>
      </c>
      <c r="P14" s="166">
        <f t="shared" si="0"/>
        <v>0</v>
      </c>
      <c r="Q14" s="166">
        <f t="shared" si="0"/>
        <v>-276500</v>
      </c>
    </row>
    <row r="15" spans="1:17" s="161" customFormat="1" ht="20.100000000000001" customHeight="1">
      <c r="A15" s="152" t="s">
        <v>535</v>
      </c>
      <c r="B15" s="159" t="s">
        <v>332</v>
      </c>
      <c r="C15" s="159">
        <v>6</v>
      </c>
      <c r="D15" s="159" t="s">
        <v>640</v>
      </c>
      <c r="E15" s="159" t="s">
        <v>382</v>
      </c>
      <c r="F15" s="165">
        <v>5887881</v>
      </c>
      <c r="G15" s="165">
        <v>274916</v>
      </c>
      <c r="H15" s="164"/>
      <c r="I15" s="164">
        <f t="shared" si="1"/>
        <v>5887881</v>
      </c>
      <c r="J15" s="166">
        <v>5956300</v>
      </c>
      <c r="K15" s="166">
        <v>214916</v>
      </c>
      <c r="L15" s="166"/>
      <c r="M15" s="166">
        <f t="shared" si="2"/>
        <v>5956300</v>
      </c>
      <c r="N15" s="166">
        <f t="shared" si="3"/>
        <v>-68419</v>
      </c>
      <c r="O15" s="166">
        <f t="shared" si="0"/>
        <v>60000</v>
      </c>
      <c r="P15" s="166">
        <f t="shared" si="0"/>
        <v>0</v>
      </c>
      <c r="Q15" s="166">
        <f t="shared" si="0"/>
        <v>-68419</v>
      </c>
    </row>
    <row r="16" spans="1:17" s="161" customFormat="1" ht="20.100000000000001" customHeight="1">
      <c r="A16" s="152" t="s">
        <v>535</v>
      </c>
      <c r="B16" s="159" t="s">
        <v>333</v>
      </c>
      <c r="C16" s="159">
        <v>7</v>
      </c>
      <c r="D16" s="159" t="s">
        <v>640</v>
      </c>
      <c r="E16" s="159" t="s">
        <v>382</v>
      </c>
      <c r="F16" s="165">
        <v>8313471</v>
      </c>
      <c r="G16" s="165">
        <v>266408</v>
      </c>
      <c r="H16" s="164"/>
      <c r="I16" s="164">
        <f t="shared" si="1"/>
        <v>8313471</v>
      </c>
      <c r="J16" s="166">
        <v>8356600</v>
      </c>
      <c r="K16" s="166">
        <v>205808</v>
      </c>
      <c r="L16" s="166"/>
      <c r="M16" s="166">
        <f t="shared" si="2"/>
        <v>8356600</v>
      </c>
      <c r="N16" s="166">
        <f t="shared" si="3"/>
        <v>-43129</v>
      </c>
      <c r="O16" s="166">
        <f t="shared" si="0"/>
        <v>60600</v>
      </c>
      <c r="P16" s="166">
        <f t="shared" si="0"/>
        <v>0</v>
      </c>
      <c r="Q16" s="166">
        <f t="shared" si="0"/>
        <v>-43129</v>
      </c>
    </row>
    <row r="17" spans="1:17" s="161" customFormat="1" ht="20.100000000000001" customHeight="1">
      <c r="A17" s="152"/>
      <c r="B17" s="159" t="s">
        <v>655</v>
      </c>
      <c r="C17" s="159"/>
      <c r="D17" s="159"/>
      <c r="E17" s="159"/>
      <c r="F17" s="165">
        <f>SUM(F10:F16)</f>
        <v>51080434</v>
      </c>
      <c r="G17" s="165">
        <f t="shared" ref="G17:Q17" si="5">SUM(G10:G16)</f>
        <v>1949208</v>
      </c>
      <c r="H17" s="165">
        <f t="shared" si="5"/>
        <v>1406208</v>
      </c>
      <c r="I17" s="165">
        <f t="shared" si="5"/>
        <v>52486642</v>
      </c>
      <c r="J17" s="165">
        <f t="shared" si="5"/>
        <v>51864500</v>
      </c>
      <c r="K17" s="165">
        <f t="shared" si="5"/>
        <v>1537888</v>
      </c>
      <c r="L17" s="165">
        <f t="shared" si="5"/>
        <v>837494.27</v>
      </c>
      <c r="M17" s="165">
        <f t="shared" si="5"/>
        <v>52701994.269999996</v>
      </c>
      <c r="N17" s="165">
        <f t="shared" si="5"/>
        <v>-784066</v>
      </c>
      <c r="O17" s="165">
        <f t="shared" si="5"/>
        <v>411320</v>
      </c>
      <c r="P17" s="165">
        <f t="shared" si="5"/>
        <v>568713.73</v>
      </c>
      <c r="Q17" s="165">
        <f t="shared" si="5"/>
        <v>-215352.26999999955</v>
      </c>
    </row>
    <row r="18" spans="1:17" s="161" customFormat="1" ht="20.100000000000001" customHeight="1">
      <c r="A18" s="152" t="s">
        <v>536</v>
      </c>
      <c r="B18" s="159" t="s">
        <v>438</v>
      </c>
      <c r="C18" s="159">
        <v>1</v>
      </c>
      <c r="D18" s="159" t="s">
        <v>639</v>
      </c>
      <c r="E18" s="159" t="s">
        <v>374</v>
      </c>
      <c r="F18" s="165">
        <v>15371862</v>
      </c>
      <c r="G18" s="165">
        <v>233164</v>
      </c>
      <c r="H18" s="164">
        <v>723087.5</v>
      </c>
      <c r="I18" s="164">
        <f t="shared" si="1"/>
        <v>16094949.5</v>
      </c>
      <c r="J18" s="166">
        <v>15244700</v>
      </c>
      <c r="K18" s="166">
        <v>178164</v>
      </c>
      <c r="L18" s="166">
        <v>363363.79</v>
      </c>
      <c r="M18" s="166">
        <f t="shared" si="2"/>
        <v>15608063.789999999</v>
      </c>
      <c r="N18" s="166">
        <f t="shared" si="3"/>
        <v>127162</v>
      </c>
      <c r="O18" s="166">
        <f t="shared" si="0"/>
        <v>55000</v>
      </c>
      <c r="P18" s="166">
        <f t="shared" si="0"/>
        <v>359723.71</v>
      </c>
      <c r="Q18" s="166">
        <f t="shared" si="0"/>
        <v>486885.71000000089</v>
      </c>
    </row>
    <row r="19" spans="1:17" s="161" customFormat="1" ht="20.100000000000001" customHeight="1">
      <c r="A19" s="152" t="s">
        <v>536</v>
      </c>
      <c r="B19" s="159" t="s">
        <v>441</v>
      </c>
      <c r="C19" s="159">
        <v>2</v>
      </c>
      <c r="D19" s="159" t="s">
        <v>639</v>
      </c>
      <c r="E19" s="159" t="s">
        <v>374</v>
      </c>
      <c r="F19" s="165">
        <v>51591927</v>
      </c>
      <c r="G19" s="165">
        <v>834902</v>
      </c>
      <c r="H19" s="164">
        <v>2062822.5</v>
      </c>
      <c r="I19" s="164">
        <f t="shared" si="1"/>
        <v>53654749.5</v>
      </c>
      <c r="J19" s="166">
        <v>52531100</v>
      </c>
      <c r="K19" s="166">
        <v>664902</v>
      </c>
      <c r="L19" s="166">
        <v>1322251.81</v>
      </c>
      <c r="M19" s="166">
        <f t="shared" si="2"/>
        <v>53853351.810000002</v>
      </c>
      <c r="N19" s="166">
        <f t="shared" si="3"/>
        <v>-939173</v>
      </c>
      <c r="O19" s="166">
        <f t="shared" si="0"/>
        <v>170000</v>
      </c>
      <c r="P19" s="166">
        <f t="shared" si="0"/>
        <v>740570.69</v>
      </c>
      <c r="Q19" s="166">
        <f t="shared" si="0"/>
        <v>-198602.31000000238</v>
      </c>
    </row>
    <row r="20" spans="1:17" s="161" customFormat="1" ht="20.100000000000001" customHeight="1">
      <c r="A20" s="152" t="s">
        <v>536</v>
      </c>
      <c r="B20" s="159" t="s">
        <v>442</v>
      </c>
      <c r="C20" s="159">
        <v>3</v>
      </c>
      <c r="D20" s="159" t="s">
        <v>639</v>
      </c>
      <c r="E20" s="159" t="s">
        <v>374</v>
      </c>
      <c r="F20" s="165">
        <v>17730270</v>
      </c>
      <c r="G20" s="165">
        <v>264260</v>
      </c>
      <c r="H20" s="164">
        <v>694005.5</v>
      </c>
      <c r="I20" s="164">
        <f t="shared" si="1"/>
        <v>18424275.5</v>
      </c>
      <c r="J20" s="166">
        <v>17769300</v>
      </c>
      <c r="K20" s="166">
        <v>206460</v>
      </c>
      <c r="L20" s="166">
        <v>457372.42</v>
      </c>
      <c r="M20" s="166">
        <f t="shared" si="2"/>
        <v>18226672.420000002</v>
      </c>
      <c r="N20" s="166">
        <f t="shared" si="3"/>
        <v>-39030</v>
      </c>
      <c r="O20" s="166">
        <f t="shared" si="0"/>
        <v>57800</v>
      </c>
      <c r="P20" s="166">
        <f t="shared" si="0"/>
        <v>236633.08000000002</v>
      </c>
      <c r="Q20" s="166">
        <f t="shared" si="0"/>
        <v>197603.07999999821</v>
      </c>
    </row>
    <row r="21" spans="1:17" s="161" customFormat="1" ht="20.100000000000001" customHeight="1">
      <c r="A21" s="152" t="s">
        <v>536</v>
      </c>
      <c r="B21" s="159" t="s">
        <v>443</v>
      </c>
      <c r="C21" s="159">
        <v>4</v>
      </c>
      <c r="D21" s="159" t="s">
        <v>639</v>
      </c>
      <c r="E21" s="159" t="s">
        <v>374</v>
      </c>
      <c r="F21" s="165">
        <v>18840112</v>
      </c>
      <c r="G21" s="165">
        <v>282312</v>
      </c>
      <c r="H21" s="164">
        <v>971407.5</v>
      </c>
      <c r="I21" s="164">
        <f t="shared" si="1"/>
        <v>19811519.5</v>
      </c>
      <c r="J21" s="166">
        <v>18643200</v>
      </c>
      <c r="K21" s="166">
        <v>222312</v>
      </c>
      <c r="L21" s="166">
        <v>579992.37</v>
      </c>
      <c r="M21" s="166">
        <f t="shared" si="2"/>
        <v>19223192.370000001</v>
      </c>
      <c r="N21" s="166">
        <f t="shared" si="3"/>
        <v>196912</v>
      </c>
      <c r="O21" s="166">
        <f t="shared" si="0"/>
        <v>60000</v>
      </c>
      <c r="P21" s="166">
        <f t="shared" si="0"/>
        <v>391415.13</v>
      </c>
      <c r="Q21" s="166">
        <f t="shared" si="0"/>
        <v>588327.12999999896</v>
      </c>
    </row>
    <row r="22" spans="1:17" s="161" customFormat="1" ht="20.100000000000001" customHeight="1">
      <c r="A22" s="152" t="s">
        <v>536</v>
      </c>
      <c r="B22" s="159" t="s">
        <v>642</v>
      </c>
      <c r="C22" s="159">
        <v>5</v>
      </c>
      <c r="D22" s="159" t="s">
        <v>639</v>
      </c>
      <c r="E22" s="159" t="s">
        <v>377</v>
      </c>
      <c r="F22" s="165">
        <v>5544958</v>
      </c>
      <c r="G22" s="165">
        <v>56018</v>
      </c>
      <c r="H22" s="164">
        <v>283472.5</v>
      </c>
      <c r="I22" s="164">
        <f t="shared" si="1"/>
        <v>5828430.5</v>
      </c>
      <c r="J22" s="166">
        <v>6214400</v>
      </c>
      <c r="K22" s="166">
        <v>41018</v>
      </c>
      <c r="L22" s="166">
        <v>297557.75</v>
      </c>
      <c r="M22" s="166">
        <f t="shared" si="2"/>
        <v>6511957.75</v>
      </c>
      <c r="N22" s="166">
        <f t="shared" si="3"/>
        <v>-669442</v>
      </c>
      <c r="O22" s="166">
        <f t="shared" si="3"/>
        <v>15000</v>
      </c>
      <c r="P22" s="166">
        <f t="shared" si="3"/>
        <v>-14085.25</v>
      </c>
      <c r="Q22" s="166">
        <f t="shared" si="3"/>
        <v>-683527.25</v>
      </c>
    </row>
    <row r="23" spans="1:17" s="161" customFormat="1" ht="20.100000000000001" customHeight="1">
      <c r="A23" s="152" t="s">
        <v>536</v>
      </c>
      <c r="B23" s="159" t="s">
        <v>444</v>
      </c>
      <c r="C23" s="159">
        <v>6</v>
      </c>
      <c r="D23" s="159" t="s">
        <v>639</v>
      </c>
      <c r="E23" s="159" t="s">
        <v>379</v>
      </c>
      <c r="F23" s="165">
        <v>11157602</v>
      </c>
      <c r="G23" s="165">
        <v>520704</v>
      </c>
      <c r="H23" s="164">
        <v>286723</v>
      </c>
      <c r="I23" s="164">
        <f t="shared" si="1"/>
        <v>11444325</v>
      </c>
      <c r="J23" s="166">
        <v>11846200</v>
      </c>
      <c r="K23" s="166">
        <v>399984</v>
      </c>
      <c r="L23" s="166">
        <v>302462.55</v>
      </c>
      <c r="M23" s="166">
        <f t="shared" si="2"/>
        <v>12148662.550000001</v>
      </c>
      <c r="N23" s="166">
        <f t="shared" si="3"/>
        <v>-688598</v>
      </c>
      <c r="O23" s="166">
        <f t="shared" si="3"/>
        <v>120720</v>
      </c>
      <c r="P23" s="166">
        <f t="shared" si="3"/>
        <v>-15739.549999999988</v>
      </c>
      <c r="Q23" s="166">
        <f t="shared" si="3"/>
        <v>-704337.55000000075</v>
      </c>
    </row>
    <row r="24" spans="1:17" s="161" customFormat="1" ht="20.100000000000001" customHeight="1">
      <c r="A24" s="152" t="s">
        <v>536</v>
      </c>
      <c r="B24" s="159" t="s">
        <v>445</v>
      </c>
      <c r="C24" s="159">
        <v>7</v>
      </c>
      <c r="D24" s="159" t="s">
        <v>639</v>
      </c>
      <c r="E24" s="159" t="s">
        <v>379</v>
      </c>
      <c r="F24" s="165">
        <v>60882974</v>
      </c>
      <c r="G24" s="165">
        <v>697676</v>
      </c>
      <c r="H24" s="164">
        <v>1813497</v>
      </c>
      <c r="I24" s="164">
        <f t="shared" si="1"/>
        <v>62696471</v>
      </c>
      <c r="J24" s="166">
        <v>63600500</v>
      </c>
      <c r="K24" s="166">
        <v>577676</v>
      </c>
      <c r="L24" s="166">
        <v>2244762.58</v>
      </c>
      <c r="M24" s="166">
        <f t="shared" si="2"/>
        <v>65845262.579999998</v>
      </c>
      <c r="N24" s="166">
        <f t="shared" si="3"/>
        <v>-2717526</v>
      </c>
      <c r="O24" s="166">
        <f t="shared" si="3"/>
        <v>120000</v>
      </c>
      <c r="P24" s="166">
        <f t="shared" si="3"/>
        <v>-431265.58000000007</v>
      </c>
      <c r="Q24" s="166">
        <f t="shared" si="3"/>
        <v>-3148791.5799999982</v>
      </c>
    </row>
    <row r="25" spans="1:17" s="161" customFormat="1" ht="20.100000000000001" customHeight="1">
      <c r="A25" s="152" t="s">
        <v>536</v>
      </c>
      <c r="B25" s="159" t="s">
        <v>446</v>
      </c>
      <c r="C25" s="159">
        <v>8</v>
      </c>
      <c r="D25" s="159" t="s">
        <v>639</v>
      </c>
      <c r="E25" s="159" t="s">
        <v>379</v>
      </c>
      <c r="F25" s="165">
        <v>11274888</v>
      </c>
      <c r="G25" s="165">
        <v>517584</v>
      </c>
      <c r="H25" s="164">
        <v>314050</v>
      </c>
      <c r="I25" s="164">
        <f t="shared" si="1"/>
        <v>11588938</v>
      </c>
      <c r="J25" s="166">
        <v>11943300</v>
      </c>
      <c r="K25" s="166">
        <v>397584</v>
      </c>
      <c r="L25" s="166">
        <v>330665.14</v>
      </c>
      <c r="M25" s="166">
        <f t="shared" si="2"/>
        <v>12273965.140000001</v>
      </c>
      <c r="N25" s="166">
        <f t="shared" si="3"/>
        <v>-668412</v>
      </c>
      <c r="O25" s="166">
        <f t="shared" si="3"/>
        <v>120000</v>
      </c>
      <c r="P25" s="166">
        <f t="shared" si="3"/>
        <v>-16615.140000000014</v>
      </c>
      <c r="Q25" s="166">
        <f t="shared" si="3"/>
        <v>-685027.1400000006</v>
      </c>
    </row>
    <row r="26" spans="1:17" s="161" customFormat="1" ht="20.100000000000001" customHeight="1">
      <c r="A26" s="152" t="s">
        <v>536</v>
      </c>
      <c r="B26" s="159" t="s">
        <v>447</v>
      </c>
      <c r="C26" s="159">
        <v>9</v>
      </c>
      <c r="D26" s="159" t="s">
        <v>639</v>
      </c>
      <c r="E26" s="159" t="s">
        <v>379</v>
      </c>
      <c r="F26" s="165">
        <v>25196203.000000004</v>
      </c>
      <c r="G26" s="165">
        <v>620488</v>
      </c>
      <c r="H26" s="164">
        <v>823503</v>
      </c>
      <c r="I26" s="164">
        <f t="shared" si="1"/>
        <v>26019706.000000004</v>
      </c>
      <c r="J26" s="166">
        <v>26411200</v>
      </c>
      <c r="K26" s="166">
        <v>500488</v>
      </c>
      <c r="L26" s="166">
        <v>942947.43</v>
      </c>
      <c r="M26" s="166">
        <f t="shared" si="2"/>
        <v>27354147.43</v>
      </c>
      <c r="N26" s="166">
        <f t="shared" si="3"/>
        <v>-1214996.9999999963</v>
      </c>
      <c r="O26" s="166">
        <f t="shared" si="3"/>
        <v>120000</v>
      </c>
      <c r="P26" s="166">
        <f t="shared" si="3"/>
        <v>-119444.43000000005</v>
      </c>
      <c r="Q26" s="166">
        <f t="shared" si="3"/>
        <v>-1334441.429999996</v>
      </c>
    </row>
    <row r="27" spans="1:17" s="161" customFormat="1" ht="20.100000000000001" customHeight="1">
      <c r="A27" s="152" t="s">
        <v>536</v>
      </c>
      <c r="B27" s="159" t="s">
        <v>448</v>
      </c>
      <c r="C27" s="159">
        <v>10</v>
      </c>
      <c r="D27" s="159" t="s">
        <v>639</v>
      </c>
      <c r="E27" s="159" t="s">
        <v>379</v>
      </c>
      <c r="F27" s="165">
        <v>22251248</v>
      </c>
      <c r="G27" s="165">
        <v>276600</v>
      </c>
      <c r="H27" s="164">
        <v>544192</v>
      </c>
      <c r="I27" s="164">
        <f t="shared" si="1"/>
        <v>22795440</v>
      </c>
      <c r="J27" s="166">
        <v>23498200</v>
      </c>
      <c r="K27" s="166">
        <v>216600</v>
      </c>
      <c r="L27" s="166">
        <v>832998.2</v>
      </c>
      <c r="M27" s="166">
        <f t="shared" si="2"/>
        <v>24331198.199999999</v>
      </c>
      <c r="N27" s="166">
        <f t="shared" si="3"/>
        <v>-1246952</v>
      </c>
      <c r="O27" s="166">
        <f t="shared" si="3"/>
        <v>60000</v>
      </c>
      <c r="P27" s="166">
        <f t="shared" si="3"/>
        <v>-288806.19999999995</v>
      </c>
      <c r="Q27" s="166">
        <f t="shared" si="3"/>
        <v>-1535758.1999999993</v>
      </c>
    </row>
    <row r="28" spans="1:17" s="161" customFormat="1" ht="20.100000000000001" customHeight="1">
      <c r="A28" s="152" t="s">
        <v>536</v>
      </c>
      <c r="B28" s="159" t="s">
        <v>458</v>
      </c>
      <c r="C28" s="159">
        <v>11</v>
      </c>
      <c r="D28" s="159" t="s">
        <v>640</v>
      </c>
      <c r="E28" s="159" t="s">
        <v>641</v>
      </c>
      <c r="F28" s="165">
        <v>1431750</v>
      </c>
      <c r="G28" s="165">
        <v>0</v>
      </c>
      <c r="H28" s="164"/>
      <c r="I28" s="164">
        <f t="shared" si="1"/>
        <v>1431750</v>
      </c>
      <c r="J28" s="166">
        <v>1282400</v>
      </c>
      <c r="K28" s="166"/>
      <c r="L28" s="166"/>
      <c r="M28" s="166">
        <f t="shared" si="2"/>
        <v>1282400</v>
      </c>
      <c r="N28" s="166">
        <f t="shared" si="3"/>
        <v>149350</v>
      </c>
      <c r="O28" s="166">
        <f t="shared" si="3"/>
        <v>0</v>
      </c>
      <c r="P28" s="166">
        <f t="shared" si="3"/>
        <v>0</v>
      </c>
      <c r="Q28" s="166">
        <f t="shared" si="3"/>
        <v>149350</v>
      </c>
    </row>
    <row r="29" spans="1:17" s="161" customFormat="1" ht="20.100000000000001" customHeight="1">
      <c r="A29" s="152" t="s">
        <v>536</v>
      </c>
      <c r="B29" s="159" t="s">
        <v>449</v>
      </c>
      <c r="C29" s="159">
        <v>12</v>
      </c>
      <c r="D29" s="159" t="s">
        <v>640</v>
      </c>
      <c r="E29" s="159" t="s">
        <v>382</v>
      </c>
      <c r="F29" s="165">
        <v>7128044</v>
      </c>
      <c r="G29" s="165">
        <v>251944</v>
      </c>
      <c r="H29" s="164"/>
      <c r="I29" s="164">
        <f t="shared" si="1"/>
        <v>7128044</v>
      </c>
      <c r="J29" s="166">
        <v>7556500</v>
      </c>
      <c r="K29" s="166">
        <v>183944</v>
      </c>
      <c r="L29" s="166"/>
      <c r="M29" s="166">
        <f t="shared" si="2"/>
        <v>7556500</v>
      </c>
      <c r="N29" s="166">
        <f t="shared" si="3"/>
        <v>-428456</v>
      </c>
      <c r="O29" s="166">
        <f t="shared" si="3"/>
        <v>68000</v>
      </c>
      <c r="P29" s="166">
        <f t="shared" si="3"/>
        <v>0</v>
      </c>
      <c r="Q29" s="166">
        <f t="shared" si="3"/>
        <v>-428456</v>
      </c>
    </row>
    <row r="30" spans="1:17" s="161" customFormat="1" ht="20.100000000000001" customHeight="1">
      <c r="A30" s="152" t="s">
        <v>536</v>
      </c>
      <c r="B30" s="159" t="s">
        <v>450</v>
      </c>
      <c r="C30" s="159">
        <v>13</v>
      </c>
      <c r="D30" s="159" t="s">
        <v>640</v>
      </c>
      <c r="E30" s="159" t="s">
        <v>382</v>
      </c>
      <c r="F30" s="165">
        <v>16549307</v>
      </c>
      <c r="G30" s="165">
        <v>356184</v>
      </c>
      <c r="H30" s="164"/>
      <c r="I30" s="164">
        <f t="shared" si="1"/>
        <v>16549307</v>
      </c>
      <c r="J30" s="166">
        <v>17335500</v>
      </c>
      <c r="K30" s="166">
        <v>296184</v>
      </c>
      <c r="L30" s="166"/>
      <c r="M30" s="166">
        <f t="shared" si="2"/>
        <v>17335500</v>
      </c>
      <c r="N30" s="166">
        <f t="shared" si="3"/>
        <v>-786193</v>
      </c>
      <c r="O30" s="166">
        <f t="shared" si="3"/>
        <v>60000</v>
      </c>
      <c r="P30" s="166">
        <f t="shared" si="3"/>
        <v>0</v>
      </c>
      <c r="Q30" s="166">
        <f t="shared" si="3"/>
        <v>-786193</v>
      </c>
    </row>
    <row r="31" spans="1:17" s="161" customFormat="1" ht="20.100000000000001" customHeight="1">
      <c r="A31" s="152" t="s">
        <v>536</v>
      </c>
      <c r="B31" s="159" t="s">
        <v>451</v>
      </c>
      <c r="C31" s="159">
        <v>14</v>
      </c>
      <c r="D31" s="159" t="s">
        <v>640</v>
      </c>
      <c r="E31" s="159" t="s">
        <v>382</v>
      </c>
      <c r="F31" s="165">
        <v>7613186</v>
      </c>
      <c r="G31" s="165">
        <v>237836</v>
      </c>
      <c r="H31" s="164"/>
      <c r="I31" s="164">
        <f t="shared" si="1"/>
        <v>7613186</v>
      </c>
      <c r="J31" s="166">
        <v>8001000</v>
      </c>
      <c r="K31" s="166">
        <v>177836</v>
      </c>
      <c r="L31" s="166"/>
      <c r="M31" s="166">
        <f t="shared" si="2"/>
        <v>8001000</v>
      </c>
      <c r="N31" s="166">
        <f t="shared" si="3"/>
        <v>-387814</v>
      </c>
      <c r="O31" s="166">
        <f t="shared" si="3"/>
        <v>60000</v>
      </c>
      <c r="P31" s="166">
        <f t="shared" si="3"/>
        <v>0</v>
      </c>
      <c r="Q31" s="166">
        <f t="shared" si="3"/>
        <v>-387814</v>
      </c>
    </row>
    <row r="32" spans="1:17" s="161" customFormat="1" ht="20.100000000000001" customHeight="1">
      <c r="A32" s="152" t="s">
        <v>536</v>
      </c>
      <c r="B32" s="159" t="s">
        <v>452</v>
      </c>
      <c r="C32" s="159">
        <v>15</v>
      </c>
      <c r="D32" s="159" t="s">
        <v>640</v>
      </c>
      <c r="E32" s="159" t="s">
        <v>382</v>
      </c>
      <c r="F32" s="165">
        <v>7608377</v>
      </c>
      <c r="G32" s="165">
        <v>241304</v>
      </c>
      <c r="H32" s="164"/>
      <c r="I32" s="164">
        <f t="shared" si="1"/>
        <v>7608377</v>
      </c>
      <c r="J32" s="166">
        <v>8089900</v>
      </c>
      <c r="K32" s="166">
        <v>181304</v>
      </c>
      <c r="L32" s="166"/>
      <c r="M32" s="166">
        <f t="shared" si="2"/>
        <v>8089900</v>
      </c>
      <c r="N32" s="166">
        <f t="shared" si="3"/>
        <v>-481523</v>
      </c>
      <c r="O32" s="166">
        <f t="shared" si="3"/>
        <v>60000</v>
      </c>
      <c r="P32" s="166">
        <f t="shared" si="3"/>
        <v>0</v>
      </c>
      <c r="Q32" s="166">
        <f t="shared" si="3"/>
        <v>-481523</v>
      </c>
    </row>
    <row r="33" spans="1:17" s="161" customFormat="1" ht="20.100000000000001" customHeight="1">
      <c r="A33" s="152" t="s">
        <v>536</v>
      </c>
      <c r="B33" s="159" t="s">
        <v>454</v>
      </c>
      <c r="C33" s="159">
        <v>16</v>
      </c>
      <c r="D33" s="159" t="s">
        <v>640</v>
      </c>
      <c r="E33" s="159" t="s">
        <v>382</v>
      </c>
      <c r="F33" s="165">
        <v>4891431</v>
      </c>
      <c r="G33" s="165">
        <v>242696</v>
      </c>
      <c r="H33" s="164"/>
      <c r="I33" s="164">
        <f t="shared" si="1"/>
        <v>4891431</v>
      </c>
      <c r="J33" s="166">
        <v>5067300</v>
      </c>
      <c r="K33" s="166">
        <v>182696</v>
      </c>
      <c r="L33" s="166"/>
      <c r="M33" s="166">
        <f t="shared" si="2"/>
        <v>5067300</v>
      </c>
      <c r="N33" s="166">
        <f t="shared" si="3"/>
        <v>-175869</v>
      </c>
      <c r="O33" s="166">
        <f t="shared" si="3"/>
        <v>60000</v>
      </c>
      <c r="P33" s="166">
        <f t="shared" si="3"/>
        <v>0</v>
      </c>
      <c r="Q33" s="166">
        <f t="shared" si="3"/>
        <v>-175869</v>
      </c>
    </row>
    <row r="34" spans="1:17" s="161" customFormat="1" ht="20.100000000000001" customHeight="1">
      <c r="A34" s="152" t="s">
        <v>536</v>
      </c>
      <c r="B34" s="158" t="s">
        <v>453</v>
      </c>
      <c r="C34" s="159">
        <v>17</v>
      </c>
      <c r="D34" s="159" t="s">
        <v>640</v>
      </c>
      <c r="E34" s="159" t="s">
        <v>382</v>
      </c>
      <c r="F34" s="165">
        <v>2777235.0000000005</v>
      </c>
      <c r="G34" s="165">
        <v>0</v>
      </c>
      <c r="H34" s="164"/>
      <c r="I34" s="164">
        <f t="shared" si="1"/>
        <v>2777235.0000000005</v>
      </c>
      <c r="J34" s="166">
        <v>3022600</v>
      </c>
      <c r="K34" s="166"/>
      <c r="L34" s="166"/>
      <c r="M34" s="166">
        <f t="shared" si="2"/>
        <v>3022600</v>
      </c>
      <c r="N34" s="166">
        <f t="shared" si="3"/>
        <v>-245364.99999999953</v>
      </c>
      <c r="O34" s="166">
        <f t="shared" si="3"/>
        <v>0</v>
      </c>
      <c r="P34" s="166">
        <f t="shared" si="3"/>
        <v>0</v>
      </c>
      <c r="Q34" s="166">
        <f t="shared" si="3"/>
        <v>-245364.99999999953</v>
      </c>
    </row>
    <row r="35" spans="1:17" s="161" customFormat="1" ht="20.100000000000001" customHeight="1">
      <c r="A35" s="152" t="s">
        <v>536</v>
      </c>
      <c r="B35" s="158" t="s">
        <v>643</v>
      </c>
      <c r="C35" s="159">
        <v>18</v>
      </c>
      <c r="D35" s="159" t="s">
        <v>640</v>
      </c>
      <c r="E35" s="159" t="s">
        <v>382</v>
      </c>
      <c r="F35" s="165">
        <v>2189684</v>
      </c>
      <c r="G35" s="165">
        <v>230838</v>
      </c>
      <c r="H35" s="164"/>
      <c r="I35" s="164">
        <f t="shared" si="1"/>
        <v>2189684</v>
      </c>
      <c r="J35" s="166">
        <v>2311400</v>
      </c>
      <c r="K35" s="166">
        <v>179136</v>
      </c>
      <c r="L35" s="166"/>
      <c r="M35" s="166">
        <f t="shared" si="2"/>
        <v>2311400</v>
      </c>
      <c r="N35" s="166">
        <f t="shared" si="3"/>
        <v>-121716</v>
      </c>
      <c r="O35" s="166">
        <f t="shared" si="3"/>
        <v>51702</v>
      </c>
      <c r="P35" s="166">
        <f t="shared" si="3"/>
        <v>0</v>
      </c>
      <c r="Q35" s="166">
        <f t="shared" si="3"/>
        <v>-121716</v>
      </c>
    </row>
    <row r="36" spans="1:17" s="161" customFormat="1" ht="20.100000000000001" customHeight="1">
      <c r="A36" s="152" t="s">
        <v>536</v>
      </c>
      <c r="B36" s="158" t="s">
        <v>456</v>
      </c>
      <c r="C36" s="159">
        <v>19</v>
      </c>
      <c r="D36" s="159" t="s">
        <v>640</v>
      </c>
      <c r="E36" s="159" t="s">
        <v>382</v>
      </c>
      <c r="F36" s="165">
        <v>13462390</v>
      </c>
      <c r="G36" s="165">
        <v>0</v>
      </c>
      <c r="H36" s="164"/>
      <c r="I36" s="164">
        <f t="shared" si="1"/>
        <v>13462390</v>
      </c>
      <c r="J36" s="166">
        <v>14046200</v>
      </c>
      <c r="K36" s="166"/>
      <c r="L36" s="166"/>
      <c r="M36" s="166">
        <f t="shared" si="2"/>
        <v>14046200</v>
      </c>
      <c r="N36" s="166">
        <f t="shared" si="3"/>
        <v>-583810</v>
      </c>
      <c r="O36" s="166">
        <f t="shared" si="3"/>
        <v>0</v>
      </c>
      <c r="P36" s="166">
        <f t="shared" si="3"/>
        <v>0</v>
      </c>
      <c r="Q36" s="166">
        <f t="shared" si="3"/>
        <v>-583810</v>
      </c>
    </row>
    <row r="37" spans="1:17" s="161" customFormat="1" ht="20.100000000000001" customHeight="1">
      <c r="A37" s="152" t="s">
        <v>536</v>
      </c>
      <c r="B37" s="158" t="s">
        <v>457</v>
      </c>
      <c r="C37" s="159">
        <v>20</v>
      </c>
      <c r="D37" s="159" t="s">
        <v>640</v>
      </c>
      <c r="E37" s="159" t="s">
        <v>382</v>
      </c>
      <c r="F37" s="165">
        <v>377449</v>
      </c>
      <c r="G37" s="165">
        <v>53339</v>
      </c>
      <c r="H37" s="164"/>
      <c r="I37" s="164">
        <f t="shared" si="1"/>
        <v>377449</v>
      </c>
      <c r="J37" s="166">
        <v>533400</v>
      </c>
      <c r="K37" s="166">
        <v>38339</v>
      </c>
      <c r="L37" s="166"/>
      <c r="M37" s="166">
        <f t="shared" si="2"/>
        <v>533400</v>
      </c>
      <c r="N37" s="166">
        <f t="shared" si="3"/>
        <v>-155951</v>
      </c>
      <c r="O37" s="166">
        <f t="shared" si="3"/>
        <v>15000</v>
      </c>
      <c r="P37" s="166">
        <f t="shared" si="3"/>
        <v>0</v>
      </c>
      <c r="Q37" s="166">
        <f t="shared" si="3"/>
        <v>-155951</v>
      </c>
    </row>
    <row r="38" spans="1:17" s="161" customFormat="1" ht="20.100000000000001" customHeight="1">
      <c r="A38" s="152"/>
      <c r="B38" s="158" t="s">
        <v>664</v>
      </c>
      <c r="C38" s="159"/>
      <c r="D38" s="159"/>
      <c r="E38" s="159"/>
      <c r="F38" s="165">
        <f>SUM(F18:F37)</f>
        <v>303870897</v>
      </c>
      <c r="G38" s="165">
        <f t="shared" ref="G38:Q38" si="6">SUM(G18:G37)</f>
        <v>5917849</v>
      </c>
      <c r="H38" s="165">
        <f t="shared" si="6"/>
        <v>8516760.5</v>
      </c>
      <c r="I38" s="165">
        <f t="shared" si="6"/>
        <v>312387657.5</v>
      </c>
      <c r="J38" s="165">
        <f t="shared" si="6"/>
        <v>314948300</v>
      </c>
      <c r="K38" s="165">
        <f t="shared" si="6"/>
        <v>4644627</v>
      </c>
      <c r="L38" s="165">
        <f t="shared" si="6"/>
        <v>7674374.0399999991</v>
      </c>
      <c r="M38" s="165">
        <f t="shared" si="6"/>
        <v>322622674.03999996</v>
      </c>
      <c r="N38" s="165">
        <f t="shared" si="6"/>
        <v>-11077402.999999996</v>
      </c>
      <c r="O38" s="165">
        <f t="shared" si="6"/>
        <v>1273222</v>
      </c>
      <c r="P38" s="165">
        <f t="shared" si="6"/>
        <v>842386.45999999973</v>
      </c>
      <c r="Q38" s="165">
        <f t="shared" si="6"/>
        <v>-10235016.539999999</v>
      </c>
    </row>
    <row r="39" spans="1:17" s="161" customFormat="1" ht="20.100000000000001" customHeight="1">
      <c r="A39" s="152" t="s">
        <v>537</v>
      </c>
      <c r="B39" s="159" t="s">
        <v>417</v>
      </c>
      <c r="C39" s="159">
        <v>1</v>
      </c>
      <c r="D39" s="159" t="s">
        <v>639</v>
      </c>
      <c r="E39" s="159" t="s">
        <v>374</v>
      </c>
      <c r="F39" s="165">
        <v>16686094</v>
      </c>
      <c r="G39" s="165">
        <v>543456</v>
      </c>
      <c r="H39" s="164">
        <v>816695.5</v>
      </c>
      <c r="I39" s="164">
        <f t="shared" si="1"/>
        <v>17502789.5</v>
      </c>
      <c r="J39" s="166">
        <v>16409900</v>
      </c>
      <c r="K39" s="166">
        <v>423456</v>
      </c>
      <c r="L39" s="166">
        <v>380530.58</v>
      </c>
      <c r="M39" s="166">
        <f t="shared" si="2"/>
        <v>16790430.579999998</v>
      </c>
      <c r="N39" s="166">
        <f t="shared" si="3"/>
        <v>276194</v>
      </c>
      <c r="O39" s="166">
        <f t="shared" si="3"/>
        <v>120000</v>
      </c>
      <c r="P39" s="166">
        <f t="shared" si="3"/>
        <v>436164.92</v>
      </c>
      <c r="Q39" s="166">
        <f t="shared" si="3"/>
        <v>712358.92000000179</v>
      </c>
    </row>
    <row r="40" spans="1:17" s="161" customFormat="1" ht="20.100000000000001" customHeight="1">
      <c r="A40" s="152" t="s">
        <v>537</v>
      </c>
      <c r="B40" s="159" t="s">
        <v>419</v>
      </c>
      <c r="C40" s="159">
        <v>2</v>
      </c>
      <c r="D40" s="159" t="s">
        <v>639</v>
      </c>
      <c r="E40" s="159" t="s">
        <v>374</v>
      </c>
      <c r="F40" s="165">
        <v>16353030</v>
      </c>
      <c r="G40" s="165">
        <v>259452</v>
      </c>
      <c r="H40" s="164">
        <v>922467</v>
      </c>
      <c r="I40" s="164">
        <f t="shared" si="1"/>
        <v>17275497</v>
      </c>
      <c r="J40" s="166">
        <v>16312800</v>
      </c>
      <c r="K40" s="166">
        <v>199452</v>
      </c>
      <c r="L40" s="166">
        <v>392792.58</v>
      </c>
      <c r="M40" s="166">
        <f t="shared" si="2"/>
        <v>16705592.58</v>
      </c>
      <c r="N40" s="166">
        <f t="shared" si="3"/>
        <v>40230</v>
      </c>
      <c r="O40" s="166">
        <f t="shared" si="3"/>
        <v>60000</v>
      </c>
      <c r="P40" s="166">
        <f t="shared" si="3"/>
        <v>529674.41999999993</v>
      </c>
      <c r="Q40" s="166">
        <f t="shared" si="3"/>
        <v>569904.41999999993</v>
      </c>
    </row>
    <row r="41" spans="1:17" s="161" customFormat="1" ht="20.100000000000001" customHeight="1">
      <c r="A41" s="152" t="s">
        <v>537</v>
      </c>
      <c r="B41" s="158" t="s">
        <v>420</v>
      </c>
      <c r="C41" s="159">
        <v>3</v>
      </c>
      <c r="D41" s="159" t="s">
        <v>639</v>
      </c>
      <c r="E41" s="159" t="s">
        <v>374</v>
      </c>
      <c r="F41" s="165">
        <v>13465852</v>
      </c>
      <c r="G41" s="165">
        <v>257292</v>
      </c>
      <c r="H41" s="164">
        <v>804541</v>
      </c>
      <c r="I41" s="164">
        <f t="shared" si="1"/>
        <v>14270393</v>
      </c>
      <c r="J41" s="166">
        <v>13205600</v>
      </c>
      <c r="K41" s="166">
        <v>197292</v>
      </c>
      <c r="L41" s="166">
        <v>400149.78</v>
      </c>
      <c r="M41" s="166">
        <f t="shared" si="2"/>
        <v>13605749.779999999</v>
      </c>
      <c r="N41" s="166">
        <f t="shared" si="3"/>
        <v>260252</v>
      </c>
      <c r="O41" s="166">
        <f t="shared" si="3"/>
        <v>60000</v>
      </c>
      <c r="P41" s="166">
        <f t="shared" si="3"/>
        <v>404391.22</v>
      </c>
      <c r="Q41" s="166">
        <f t="shared" si="3"/>
        <v>664643.22000000067</v>
      </c>
    </row>
    <row r="42" spans="1:17" s="161" customFormat="1" ht="20.100000000000001" customHeight="1">
      <c r="A42" s="152" t="s">
        <v>537</v>
      </c>
      <c r="B42" s="159" t="s">
        <v>421</v>
      </c>
      <c r="C42" s="159">
        <v>4</v>
      </c>
      <c r="D42" s="159" t="s">
        <v>639</v>
      </c>
      <c r="E42" s="159" t="s">
        <v>377</v>
      </c>
      <c r="F42" s="165">
        <v>9540218</v>
      </c>
      <c r="G42" s="165">
        <v>0</v>
      </c>
      <c r="H42" s="164">
        <v>716812.5</v>
      </c>
      <c r="I42" s="164">
        <f t="shared" si="1"/>
        <v>10257030.5</v>
      </c>
      <c r="J42" s="166">
        <v>9807100</v>
      </c>
      <c r="K42" s="166"/>
      <c r="L42" s="166">
        <v>340066</v>
      </c>
      <c r="M42" s="166">
        <f t="shared" si="2"/>
        <v>10147166</v>
      </c>
      <c r="N42" s="166">
        <f t="shared" si="3"/>
        <v>-266882</v>
      </c>
      <c r="O42" s="166">
        <f t="shared" si="3"/>
        <v>0</v>
      </c>
      <c r="P42" s="166">
        <f t="shared" si="3"/>
        <v>376746.5</v>
      </c>
      <c r="Q42" s="166">
        <f t="shared" si="3"/>
        <v>109864.5</v>
      </c>
    </row>
    <row r="43" spans="1:17" s="161" customFormat="1" ht="20.100000000000001" customHeight="1">
      <c r="A43" s="152" t="s">
        <v>537</v>
      </c>
      <c r="B43" s="152" t="s">
        <v>435</v>
      </c>
      <c r="C43" s="159">
        <v>5</v>
      </c>
      <c r="D43" s="159" t="s">
        <v>639</v>
      </c>
      <c r="E43" s="159" t="s">
        <v>377</v>
      </c>
      <c r="F43" s="165">
        <v>1013748</v>
      </c>
      <c r="G43" s="165">
        <v>57368</v>
      </c>
      <c r="H43" s="164">
        <v>60823</v>
      </c>
      <c r="I43" s="164">
        <f t="shared" si="1"/>
        <v>1074571</v>
      </c>
      <c r="J43" s="166">
        <v>1068100</v>
      </c>
      <c r="K43" s="166">
        <v>42368</v>
      </c>
      <c r="L43" s="166">
        <v>58857.58</v>
      </c>
      <c r="M43" s="166">
        <f t="shared" si="2"/>
        <v>1126957.58</v>
      </c>
      <c r="N43" s="166">
        <f t="shared" si="3"/>
        <v>-54352</v>
      </c>
      <c r="O43" s="166">
        <f t="shared" si="3"/>
        <v>15000</v>
      </c>
      <c r="P43" s="166">
        <f t="shared" si="3"/>
        <v>1965.4199999999983</v>
      </c>
      <c r="Q43" s="166">
        <f t="shared" si="3"/>
        <v>-52386.580000000075</v>
      </c>
    </row>
    <row r="44" spans="1:17" s="161" customFormat="1" ht="20.100000000000001" customHeight="1">
      <c r="A44" s="152" t="s">
        <v>537</v>
      </c>
      <c r="B44" s="159" t="s">
        <v>422</v>
      </c>
      <c r="C44" s="159">
        <v>6</v>
      </c>
      <c r="D44" s="159" t="s">
        <v>639</v>
      </c>
      <c r="E44" s="159" t="s">
        <v>379</v>
      </c>
      <c r="F44" s="165">
        <v>18044616</v>
      </c>
      <c r="G44" s="165">
        <v>617916</v>
      </c>
      <c r="H44" s="164">
        <v>694033</v>
      </c>
      <c r="I44" s="164">
        <f t="shared" si="1"/>
        <v>18738649</v>
      </c>
      <c r="J44" s="166">
        <v>18740300</v>
      </c>
      <c r="K44" s="166">
        <v>497196</v>
      </c>
      <c r="L44" s="166">
        <v>610238.63</v>
      </c>
      <c r="M44" s="166">
        <f t="shared" si="2"/>
        <v>19350538.629999999</v>
      </c>
      <c r="N44" s="166">
        <f t="shared" si="3"/>
        <v>-695684</v>
      </c>
      <c r="O44" s="166">
        <f t="shared" si="3"/>
        <v>120720</v>
      </c>
      <c r="P44" s="166">
        <f t="shared" si="3"/>
        <v>83794.37</v>
      </c>
      <c r="Q44" s="166">
        <f t="shared" si="3"/>
        <v>-611889.62999999896</v>
      </c>
    </row>
    <row r="45" spans="1:17" s="161" customFormat="1" ht="20.100000000000001" customHeight="1">
      <c r="A45" s="152" t="s">
        <v>537</v>
      </c>
      <c r="B45" s="159" t="s">
        <v>423</v>
      </c>
      <c r="C45" s="159">
        <v>7</v>
      </c>
      <c r="D45" s="159" t="s">
        <v>639</v>
      </c>
      <c r="E45" s="159" t="s">
        <v>379</v>
      </c>
      <c r="F45" s="165">
        <v>14679798</v>
      </c>
      <c r="G45" s="165">
        <v>273000</v>
      </c>
      <c r="H45" s="164">
        <v>729947.5</v>
      </c>
      <c r="I45" s="164">
        <f t="shared" si="1"/>
        <v>15409745.5</v>
      </c>
      <c r="J45" s="166">
        <v>15341800</v>
      </c>
      <c r="K45" s="166">
        <v>213000</v>
      </c>
      <c r="L45" s="166">
        <v>447154.09</v>
      </c>
      <c r="M45" s="166">
        <f t="shared" si="2"/>
        <v>15788954.09</v>
      </c>
      <c r="N45" s="166">
        <f t="shared" si="3"/>
        <v>-662002</v>
      </c>
      <c r="O45" s="166">
        <f t="shared" si="3"/>
        <v>60000</v>
      </c>
      <c r="P45" s="166">
        <f t="shared" si="3"/>
        <v>282793.40999999997</v>
      </c>
      <c r="Q45" s="166">
        <f t="shared" si="3"/>
        <v>-379208.58999999985</v>
      </c>
    </row>
    <row r="46" spans="1:17" s="161" customFormat="1" ht="20.100000000000001" customHeight="1">
      <c r="A46" s="152" t="s">
        <v>537</v>
      </c>
      <c r="B46" s="159" t="s">
        <v>424</v>
      </c>
      <c r="C46" s="159">
        <v>8</v>
      </c>
      <c r="D46" s="159" t="s">
        <v>639</v>
      </c>
      <c r="E46" s="159" t="s">
        <v>379</v>
      </c>
      <c r="F46" s="165">
        <v>17026366</v>
      </c>
      <c r="G46" s="165">
        <v>302280</v>
      </c>
      <c r="H46" s="164">
        <v>934341.5</v>
      </c>
      <c r="I46" s="164">
        <f t="shared" si="1"/>
        <v>17960707.5</v>
      </c>
      <c r="J46" s="166">
        <v>17575100</v>
      </c>
      <c r="K46" s="166">
        <v>242280</v>
      </c>
      <c r="L46" s="166">
        <v>563234.31000000006</v>
      </c>
      <c r="M46" s="166">
        <f t="shared" si="2"/>
        <v>18138334.309999999</v>
      </c>
      <c r="N46" s="166">
        <f t="shared" si="3"/>
        <v>-548734</v>
      </c>
      <c r="O46" s="166">
        <f t="shared" si="3"/>
        <v>60000</v>
      </c>
      <c r="P46" s="166">
        <f t="shared" si="3"/>
        <v>371107.18999999994</v>
      </c>
      <c r="Q46" s="166">
        <f t="shared" si="3"/>
        <v>-177626.80999999866</v>
      </c>
    </row>
    <row r="47" spans="1:17" s="161" customFormat="1" ht="20.100000000000001" customHeight="1">
      <c r="A47" s="152" t="s">
        <v>537</v>
      </c>
      <c r="B47" s="159" t="s">
        <v>425</v>
      </c>
      <c r="C47" s="159">
        <v>9</v>
      </c>
      <c r="D47" s="159" t="s">
        <v>639</v>
      </c>
      <c r="E47" s="159" t="s">
        <v>379</v>
      </c>
      <c r="F47" s="165">
        <v>8887750</v>
      </c>
      <c r="G47" s="165">
        <v>299772</v>
      </c>
      <c r="H47" s="164">
        <v>450074.5</v>
      </c>
      <c r="I47" s="164">
        <f t="shared" si="1"/>
        <v>9337824.5</v>
      </c>
      <c r="J47" s="166">
        <v>8933200</v>
      </c>
      <c r="K47" s="166">
        <v>239772</v>
      </c>
      <c r="L47" s="166">
        <v>332300.07</v>
      </c>
      <c r="M47" s="166">
        <f t="shared" si="2"/>
        <v>9265500.0700000003</v>
      </c>
      <c r="N47" s="166">
        <f t="shared" si="3"/>
        <v>-45450</v>
      </c>
      <c r="O47" s="166">
        <f t="shared" si="3"/>
        <v>60000</v>
      </c>
      <c r="P47" s="166">
        <f t="shared" si="3"/>
        <v>117774.43</v>
      </c>
      <c r="Q47" s="166">
        <f t="shared" si="3"/>
        <v>72324.429999999702</v>
      </c>
    </row>
    <row r="48" spans="1:17" s="161" customFormat="1" ht="20.100000000000001" customHeight="1">
      <c r="A48" s="152" t="s">
        <v>537</v>
      </c>
      <c r="B48" s="159" t="s">
        <v>426</v>
      </c>
      <c r="C48" s="159">
        <v>10</v>
      </c>
      <c r="D48" s="159" t="s">
        <v>639</v>
      </c>
      <c r="E48" s="159" t="s">
        <v>379</v>
      </c>
      <c r="F48" s="165">
        <v>8347486</v>
      </c>
      <c r="G48" s="165">
        <v>176108</v>
      </c>
      <c r="H48" s="164"/>
      <c r="I48" s="164">
        <f t="shared" si="1"/>
        <v>8347486</v>
      </c>
      <c r="J48" s="166">
        <v>11069400</v>
      </c>
      <c r="K48" s="166">
        <v>197412</v>
      </c>
      <c r="L48" s="166">
        <v>396879.91</v>
      </c>
      <c r="M48" s="166">
        <f t="shared" si="2"/>
        <v>11466279.91</v>
      </c>
      <c r="N48" s="166">
        <f t="shared" si="3"/>
        <v>-2721914</v>
      </c>
      <c r="O48" s="166">
        <f t="shared" si="3"/>
        <v>-21304</v>
      </c>
      <c r="P48" s="166">
        <f t="shared" si="3"/>
        <v>-396879.91</v>
      </c>
      <c r="Q48" s="166">
        <f t="shared" si="3"/>
        <v>-3118793.91</v>
      </c>
    </row>
    <row r="49" spans="1:17" s="161" customFormat="1" ht="20.100000000000001" customHeight="1">
      <c r="A49" s="152" t="s">
        <v>537</v>
      </c>
      <c r="B49" s="162" t="s">
        <v>644</v>
      </c>
      <c r="C49" s="159">
        <v>11</v>
      </c>
      <c r="D49" s="159" t="s">
        <v>639</v>
      </c>
      <c r="E49" s="159" t="s">
        <v>379</v>
      </c>
      <c r="F49" s="165">
        <v>2029102</v>
      </c>
      <c r="G49" s="165">
        <v>81304</v>
      </c>
      <c r="H49" s="164">
        <v>293283</v>
      </c>
      <c r="I49" s="164">
        <f t="shared" si="1"/>
        <v>2322385</v>
      </c>
      <c r="J49" s="166"/>
      <c r="K49" s="166"/>
      <c r="L49" s="166"/>
      <c r="M49" s="166">
        <f t="shared" si="2"/>
        <v>0</v>
      </c>
      <c r="N49" s="166">
        <f t="shared" si="3"/>
        <v>2029102</v>
      </c>
      <c r="O49" s="166">
        <f t="shared" si="3"/>
        <v>81304</v>
      </c>
      <c r="P49" s="166">
        <f t="shared" si="3"/>
        <v>293283</v>
      </c>
      <c r="Q49" s="166">
        <f t="shared" si="3"/>
        <v>2322385</v>
      </c>
    </row>
    <row r="50" spans="1:17" s="161" customFormat="1" ht="20.100000000000001" customHeight="1">
      <c r="A50" s="152" t="s">
        <v>537</v>
      </c>
      <c r="B50" s="159" t="s">
        <v>436</v>
      </c>
      <c r="C50" s="159">
        <v>12</v>
      </c>
      <c r="D50" s="159" t="s">
        <v>640</v>
      </c>
      <c r="E50" s="159" t="s">
        <v>641</v>
      </c>
      <c r="F50" s="165">
        <v>1147500</v>
      </c>
      <c r="G50" s="165">
        <v>0</v>
      </c>
      <c r="H50" s="164"/>
      <c r="I50" s="164">
        <f t="shared" si="1"/>
        <v>1147500</v>
      </c>
      <c r="J50" s="166">
        <v>1099200</v>
      </c>
      <c r="K50" s="166"/>
      <c r="L50" s="166"/>
      <c r="M50" s="166">
        <f t="shared" si="2"/>
        <v>1099200</v>
      </c>
      <c r="N50" s="166">
        <f t="shared" si="3"/>
        <v>48300</v>
      </c>
      <c r="O50" s="166">
        <f t="shared" si="3"/>
        <v>0</v>
      </c>
      <c r="P50" s="166">
        <f t="shared" si="3"/>
        <v>0</v>
      </c>
      <c r="Q50" s="166">
        <f t="shared" si="3"/>
        <v>48300</v>
      </c>
    </row>
    <row r="51" spans="1:17" s="161" customFormat="1" ht="20.100000000000001" customHeight="1">
      <c r="A51" s="152" t="s">
        <v>537</v>
      </c>
      <c r="B51" s="159" t="s">
        <v>427</v>
      </c>
      <c r="C51" s="159">
        <v>13</v>
      </c>
      <c r="D51" s="159" t="s">
        <v>640</v>
      </c>
      <c r="E51" s="159" t="s">
        <v>382</v>
      </c>
      <c r="F51" s="165">
        <v>9930921</v>
      </c>
      <c r="G51" s="165">
        <v>266768</v>
      </c>
      <c r="H51" s="164"/>
      <c r="I51" s="164">
        <f t="shared" si="1"/>
        <v>9930921</v>
      </c>
      <c r="J51" s="166">
        <v>10223500</v>
      </c>
      <c r="K51" s="166">
        <v>206618</v>
      </c>
      <c r="L51" s="166"/>
      <c r="M51" s="166">
        <f t="shared" si="2"/>
        <v>10223500</v>
      </c>
      <c r="N51" s="166">
        <f t="shared" si="3"/>
        <v>-292579</v>
      </c>
      <c r="O51" s="166">
        <f t="shared" si="3"/>
        <v>60150</v>
      </c>
      <c r="P51" s="166">
        <f t="shared" si="3"/>
        <v>0</v>
      </c>
      <c r="Q51" s="166">
        <f t="shared" si="3"/>
        <v>-292579</v>
      </c>
    </row>
    <row r="52" spans="1:17" s="161" customFormat="1" ht="20.100000000000001" customHeight="1">
      <c r="A52" s="152" t="s">
        <v>537</v>
      </c>
      <c r="B52" s="159" t="s">
        <v>428</v>
      </c>
      <c r="C52" s="159">
        <v>14</v>
      </c>
      <c r="D52" s="159" t="s">
        <v>640</v>
      </c>
      <c r="E52" s="159" t="s">
        <v>382</v>
      </c>
      <c r="F52" s="165">
        <v>10593885</v>
      </c>
      <c r="G52" s="165">
        <v>255560</v>
      </c>
      <c r="H52" s="164"/>
      <c r="I52" s="164">
        <f t="shared" si="1"/>
        <v>10593885</v>
      </c>
      <c r="J52" s="166">
        <v>10756900</v>
      </c>
      <c r="K52" s="166">
        <v>195560</v>
      </c>
      <c r="L52" s="166"/>
      <c r="M52" s="166">
        <f t="shared" si="2"/>
        <v>10756900</v>
      </c>
      <c r="N52" s="166">
        <f t="shared" si="3"/>
        <v>-163015</v>
      </c>
      <c r="O52" s="166">
        <f t="shared" si="3"/>
        <v>60000</v>
      </c>
      <c r="P52" s="166">
        <f t="shared" si="3"/>
        <v>0</v>
      </c>
      <c r="Q52" s="166">
        <f t="shared" si="3"/>
        <v>-163015</v>
      </c>
    </row>
    <row r="53" spans="1:17" s="161" customFormat="1" ht="20.100000000000001" customHeight="1">
      <c r="A53" s="152" t="s">
        <v>537</v>
      </c>
      <c r="B53" s="159" t="s">
        <v>430</v>
      </c>
      <c r="C53" s="159">
        <v>15</v>
      </c>
      <c r="D53" s="159" t="s">
        <v>640</v>
      </c>
      <c r="E53" s="159" t="s">
        <v>382</v>
      </c>
      <c r="F53" s="165">
        <v>9456570</v>
      </c>
      <c r="G53" s="165">
        <v>267270</v>
      </c>
      <c r="H53" s="164"/>
      <c r="I53" s="164">
        <f t="shared" si="1"/>
        <v>9456570</v>
      </c>
      <c r="J53" s="166">
        <v>9690100</v>
      </c>
      <c r="K53" s="166">
        <v>207270</v>
      </c>
      <c r="L53" s="166"/>
      <c r="M53" s="166">
        <f t="shared" si="2"/>
        <v>9690100</v>
      </c>
      <c r="N53" s="166">
        <f t="shared" si="3"/>
        <v>-233530</v>
      </c>
      <c r="O53" s="166">
        <f t="shared" si="3"/>
        <v>60000</v>
      </c>
      <c r="P53" s="166">
        <f t="shared" si="3"/>
        <v>0</v>
      </c>
      <c r="Q53" s="166">
        <f t="shared" si="3"/>
        <v>-233530</v>
      </c>
    </row>
    <row r="54" spans="1:17" s="161" customFormat="1" ht="20.100000000000001" customHeight="1">
      <c r="A54" s="152" t="s">
        <v>537</v>
      </c>
      <c r="B54" s="159" t="s">
        <v>431</v>
      </c>
      <c r="C54" s="159">
        <v>16</v>
      </c>
      <c r="D54" s="159" t="s">
        <v>640</v>
      </c>
      <c r="E54" s="159" t="s">
        <v>382</v>
      </c>
      <c r="F54" s="165">
        <v>5903992</v>
      </c>
      <c r="G54" s="165">
        <v>248744</v>
      </c>
      <c r="H54" s="164"/>
      <c r="I54" s="164">
        <f t="shared" si="1"/>
        <v>5903992</v>
      </c>
      <c r="J54" s="166">
        <v>6045200</v>
      </c>
      <c r="K54" s="166">
        <v>188744</v>
      </c>
      <c r="L54" s="166"/>
      <c r="M54" s="166">
        <f t="shared" si="2"/>
        <v>6045200</v>
      </c>
      <c r="N54" s="166">
        <f t="shared" si="3"/>
        <v>-141208</v>
      </c>
      <c r="O54" s="166">
        <f t="shared" si="3"/>
        <v>60000</v>
      </c>
      <c r="P54" s="166">
        <f t="shared" si="3"/>
        <v>0</v>
      </c>
      <c r="Q54" s="166">
        <f t="shared" si="3"/>
        <v>-141208</v>
      </c>
    </row>
    <row r="55" spans="1:17" s="161" customFormat="1" ht="20.100000000000001" customHeight="1">
      <c r="A55" s="152" t="s">
        <v>537</v>
      </c>
      <c r="B55" s="159" t="s">
        <v>433</v>
      </c>
      <c r="C55" s="159">
        <v>17</v>
      </c>
      <c r="D55" s="159" t="s">
        <v>640</v>
      </c>
      <c r="E55" s="159" t="s">
        <v>382</v>
      </c>
      <c r="F55" s="165">
        <v>6516654</v>
      </c>
      <c r="G55" s="165">
        <v>240776</v>
      </c>
      <c r="H55" s="164"/>
      <c r="I55" s="164">
        <f t="shared" si="1"/>
        <v>6516654</v>
      </c>
      <c r="J55" s="166">
        <v>6667500</v>
      </c>
      <c r="K55" s="166">
        <v>180776</v>
      </c>
      <c r="L55" s="166"/>
      <c r="M55" s="166">
        <f t="shared" si="2"/>
        <v>6667500</v>
      </c>
      <c r="N55" s="166">
        <f t="shared" si="3"/>
        <v>-150846</v>
      </c>
      <c r="O55" s="166">
        <f t="shared" si="3"/>
        <v>60000</v>
      </c>
      <c r="P55" s="166">
        <f t="shared" si="3"/>
        <v>0</v>
      </c>
      <c r="Q55" s="166">
        <f t="shared" si="3"/>
        <v>-150846</v>
      </c>
    </row>
    <row r="56" spans="1:17" s="161" customFormat="1" ht="20.100000000000001" customHeight="1">
      <c r="A56" s="152" t="s">
        <v>537</v>
      </c>
      <c r="B56" s="159" t="s">
        <v>432</v>
      </c>
      <c r="C56" s="159">
        <v>18</v>
      </c>
      <c r="D56" s="159" t="s">
        <v>640</v>
      </c>
      <c r="E56" s="159" t="s">
        <v>382</v>
      </c>
      <c r="F56" s="165">
        <v>3930871.0000000005</v>
      </c>
      <c r="G56" s="165">
        <v>230336</v>
      </c>
      <c r="H56" s="164"/>
      <c r="I56" s="164">
        <f t="shared" si="1"/>
        <v>3930871.0000000005</v>
      </c>
      <c r="J56" s="166">
        <v>4000500</v>
      </c>
      <c r="K56" s="166">
        <v>170336</v>
      </c>
      <c r="L56" s="166"/>
      <c r="M56" s="166">
        <f t="shared" si="2"/>
        <v>4000500</v>
      </c>
      <c r="N56" s="166">
        <f t="shared" si="3"/>
        <v>-69628.999999999534</v>
      </c>
      <c r="O56" s="166">
        <f t="shared" si="3"/>
        <v>60000</v>
      </c>
      <c r="P56" s="166">
        <f t="shared" si="3"/>
        <v>0</v>
      </c>
      <c r="Q56" s="166">
        <f t="shared" si="3"/>
        <v>-69628.999999999534</v>
      </c>
    </row>
    <row r="57" spans="1:17" s="161" customFormat="1" ht="20.100000000000001" customHeight="1">
      <c r="A57" s="152" t="s">
        <v>537</v>
      </c>
      <c r="B57" s="158" t="s">
        <v>429</v>
      </c>
      <c r="C57" s="159">
        <v>19</v>
      </c>
      <c r="D57" s="159" t="s">
        <v>640</v>
      </c>
      <c r="E57" s="159" t="s">
        <v>382</v>
      </c>
      <c r="F57" s="165">
        <v>2759034</v>
      </c>
      <c r="G57" s="165">
        <v>237056</v>
      </c>
      <c r="H57" s="164"/>
      <c r="I57" s="164">
        <f t="shared" si="1"/>
        <v>2759034</v>
      </c>
      <c r="J57" s="166">
        <v>2844800</v>
      </c>
      <c r="K57" s="166">
        <v>177056</v>
      </c>
      <c r="L57" s="166"/>
      <c r="M57" s="166">
        <f t="shared" si="2"/>
        <v>2844800</v>
      </c>
      <c r="N57" s="166">
        <f t="shared" si="3"/>
        <v>-85766</v>
      </c>
      <c r="O57" s="166">
        <f t="shared" si="3"/>
        <v>60000</v>
      </c>
      <c r="P57" s="166">
        <f t="shared" si="3"/>
        <v>0</v>
      </c>
      <c r="Q57" s="166">
        <f t="shared" si="3"/>
        <v>-85766</v>
      </c>
    </row>
    <row r="58" spans="1:17" s="161" customFormat="1" ht="20.100000000000001" customHeight="1">
      <c r="A58" s="152" t="s">
        <v>537</v>
      </c>
      <c r="B58" s="158" t="s">
        <v>434</v>
      </c>
      <c r="C58" s="159">
        <v>20</v>
      </c>
      <c r="D58" s="159" t="s">
        <v>640</v>
      </c>
      <c r="E58" s="159" t="s">
        <v>382</v>
      </c>
      <c r="F58" s="165">
        <v>3676181</v>
      </c>
      <c r="G58" s="165">
        <v>238881</v>
      </c>
      <c r="H58" s="164"/>
      <c r="I58" s="164">
        <f t="shared" si="1"/>
        <v>3676181</v>
      </c>
      <c r="J58" s="166">
        <v>3733800</v>
      </c>
      <c r="K58" s="166">
        <v>178881</v>
      </c>
      <c r="L58" s="166"/>
      <c r="M58" s="166">
        <f t="shared" si="2"/>
        <v>3733800</v>
      </c>
      <c r="N58" s="166">
        <f t="shared" si="3"/>
        <v>-57619</v>
      </c>
      <c r="O58" s="166">
        <f t="shared" si="3"/>
        <v>60000</v>
      </c>
      <c r="P58" s="166">
        <f t="shared" si="3"/>
        <v>0</v>
      </c>
      <c r="Q58" s="166">
        <f t="shared" si="3"/>
        <v>-57619</v>
      </c>
    </row>
    <row r="59" spans="1:17" s="161" customFormat="1" ht="20.100000000000001" customHeight="1">
      <c r="A59" s="152"/>
      <c r="B59" s="158" t="s">
        <v>656</v>
      </c>
      <c r="C59" s="159"/>
      <c r="D59" s="159"/>
      <c r="E59" s="159"/>
      <c r="F59" s="165">
        <f>SUM(F39:F58)</f>
        <v>179989668</v>
      </c>
      <c r="G59" s="165">
        <f t="shared" ref="G59:Q59" si="7">SUM(G39:G58)</f>
        <v>4853339</v>
      </c>
      <c r="H59" s="165">
        <f t="shared" si="7"/>
        <v>6423018.5</v>
      </c>
      <c r="I59" s="165">
        <f t="shared" si="7"/>
        <v>186412686.5</v>
      </c>
      <c r="J59" s="165">
        <f t="shared" si="7"/>
        <v>183524800</v>
      </c>
      <c r="K59" s="165">
        <f t="shared" si="7"/>
        <v>3757469</v>
      </c>
      <c r="L59" s="165">
        <f t="shared" si="7"/>
        <v>3922203.53</v>
      </c>
      <c r="M59" s="165">
        <f t="shared" si="7"/>
        <v>187447003.53</v>
      </c>
      <c r="N59" s="165">
        <f t="shared" si="7"/>
        <v>-3535131.9999999995</v>
      </c>
      <c r="O59" s="165">
        <f t="shared" si="7"/>
        <v>1095870</v>
      </c>
      <c r="P59" s="165">
        <f t="shared" si="7"/>
        <v>2500814.9699999997</v>
      </c>
      <c r="Q59" s="165">
        <f t="shared" si="7"/>
        <v>-1034317.0299999951</v>
      </c>
    </row>
    <row r="60" spans="1:17" s="161" customFormat="1" ht="20.100000000000001" customHeight="1">
      <c r="A60" s="152" t="s">
        <v>538</v>
      </c>
      <c r="B60" s="159" t="s">
        <v>306</v>
      </c>
      <c r="C60" s="159">
        <v>1</v>
      </c>
      <c r="D60" s="159" t="s">
        <v>639</v>
      </c>
      <c r="E60" s="159" t="s">
        <v>374</v>
      </c>
      <c r="F60" s="165">
        <v>11879175</v>
      </c>
      <c r="G60" s="165">
        <v>253552</v>
      </c>
      <c r="H60" s="164">
        <v>458419.5</v>
      </c>
      <c r="I60" s="164">
        <f t="shared" si="1"/>
        <v>12337594.5</v>
      </c>
      <c r="J60" s="166">
        <v>12331700</v>
      </c>
      <c r="K60" s="166">
        <v>193552</v>
      </c>
      <c r="L60" s="166">
        <v>210497.58</v>
      </c>
      <c r="M60" s="166">
        <f t="shared" si="2"/>
        <v>12542197.58</v>
      </c>
      <c r="N60" s="166">
        <f t="shared" si="3"/>
        <v>-452525</v>
      </c>
      <c r="O60" s="166">
        <f t="shared" si="3"/>
        <v>60000</v>
      </c>
      <c r="P60" s="166">
        <f t="shared" si="3"/>
        <v>247921.92000000001</v>
      </c>
      <c r="Q60" s="166">
        <f t="shared" si="3"/>
        <v>-204603.08000000007</v>
      </c>
    </row>
    <row r="61" spans="1:17" s="161" customFormat="1" ht="20.100000000000001" customHeight="1">
      <c r="A61" s="152" t="s">
        <v>538</v>
      </c>
      <c r="B61" s="159" t="s">
        <v>413</v>
      </c>
      <c r="C61" s="159">
        <v>2</v>
      </c>
      <c r="D61" s="159" t="s">
        <v>639</v>
      </c>
      <c r="E61" s="159" t="s">
        <v>374</v>
      </c>
      <c r="F61" s="165">
        <v>12903429</v>
      </c>
      <c r="G61" s="165">
        <v>821116</v>
      </c>
      <c r="H61" s="164">
        <v>624522</v>
      </c>
      <c r="I61" s="164">
        <f t="shared" si="1"/>
        <v>13527951</v>
      </c>
      <c r="J61" s="166">
        <v>12623000</v>
      </c>
      <c r="K61" s="166">
        <v>641116</v>
      </c>
      <c r="L61" s="166">
        <v>314724.53999999998</v>
      </c>
      <c r="M61" s="166">
        <f t="shared" si="2"/>
        <v>12937724.539999999</v>
      </c>
      <c r="N61" s="166">
        <f t="shared" si="3"/>
        <v>280429</v>
      </c>
      <c r="O61" s="166">
        <f t="shared" si="3"/>
        <v>180000</v>
      </c>
      <c r="P61" s="166">
        <f t="shared" si="3"/>
        <v>309797.46000000002</v>
      </c>
      <c r="Q61" s="166">
        <f t="shared" si="3"/>
        <v>590226.46000000089</v>
      </c>
    </row>
    <row r="62" spans="1:17" s="161" customFormat="1" ht="20.100000000000001" customHeight="1">
      <c r="A62" s="152" t="s">
        <v>538</v>
      </c>
      <c r="B62" s="159" t="s">
        <v>645</v>
      </c>
      <c r="C62" s="159">
        <v>3</v>
      </c>
      <c r="D62" s="159" t="s">
        <v>639</v>
      </c>
      <c r="E62" s="159" t="s">
        <v>374</v>
      </c>
      <c r="F62" s="165">
        <v>12952010</v>
      </c>
      <c r="G62" s="165">
        <v>0</v>
      </c>
      <c r="H62" s="164">
        <v>623787.5</v>
      </c>
      <c r="I62" s="164">
        <f t="shared" si="1"/>
        <v>13575797.5</v>
      </c>
      <c r="J62" s="166">
        <v>13399800</v>
      </c>
      <c r="K62" s="166"/>
      <c r="L62" s="166">
        <v>274259.96000000002</v>
      </c>
      <c r="M62" s="166">
        <f t="shared" si="2"/>
        <v>13674059.960000001</v>
      </c>
      <c r="N62" s="166">
        <f t="shared" si="3"/>
        <v>-447790</v>
      </c>
      <c r="O62" s="166">
        <f t="shared" si="3"/>
        <v>0</v>
      </c>
      <c r="P62" s="166">
        <f t="shared" si="3"/>
        <v>349527.54</v>
      </c>
      <c r="Q62" s="166">
        <f t="shared" si="3"/>
        <v>-98262.460000000894</v>
      </c>
    </row>
    <row r="63" spans="1:17" s="161" customFormat="1" ht="20.100000000000001" customHeight="1">
      <c r="A63" s="152" t="s">
        <v>538</v>
      </c>
      <c r="B63" s="159" t="s">
        <v>308</v>
      </c>
      <c r="C63" s="159">
        <v>4</v>
      </c>
      <c r="D63" s="159" t="s">
        <v>639</v>
      </c>
      <c r="E63" s="159" t="s">
        <v>374</v>
      </c>
      <c r="F63" s="165">
        <v>14978010</v>
      </c>
      <c r="G63" s="165">
        <v>251812</v>
      </c>
      <c r="H63" s="164">
        <v>753137.5</v>
      </c>
      <c r="I63" s="164">
        <f t="shared" si="1"/>
        <v>15731147.5</v>
      </c>
      <c r="J63" s="166">
        <v>14856300</v>
      </c>
      <c r="K63" s="166">
        <v>191812</v>
      </c>
      <c r="L63" s="166">
        <v>405463.31</v>
      </c>
      <c r="M63" s="166">
        <f t="shared" si="2"/>
        <v>15261763.310000001</v>
      </c>
      <c r="N63" s="166">
        <f t="shared" si="3"/>
        <v>121710</v>
      </c>
      <c r="O63" s="166">
        <f t="shared" si="3"/>
        <v>60000</v>
      </c>
      <c r="P63" s="166">
        <f t="shared" si="3"/>
        <v>347674.19</v>
      </c>
      <c r="Q63" s="166">
        <f t="shared" si="3"/>
        <v>469384.18999999948</v>
      </c>
    </row>
    <row r="64" spans="1:17" s="161" customFormat="1" ht="20.100000000000001" customHeight="1">
      <c r="A64" s="152" t="s">
        <v>538</v>
      </c>
      <c r="B64" s="159" t="s">
        <v>646</v>
      </c>
      <c r="C64" s="159">
        <v>5</v>
      </c>
      <c r="D64" s="159" t="s">
        <v>639</v>
      </c>
      <c r="E64" s="159" t="s">
        <v>377</v>
      </c>
      <c r="F64" s="165">
        <v>7420315</v>
      </c>
      <c r="G64" s="165">
        <v>0</v>
      </c>
      <c r="H64" s="164">
        <v>280014</v>
      </c>
      <c r="I64" s="164">
        <f t="shared" si="1"/>
        <v>7700329</v>
      </c>
      <c r="J64" s="166">
        <v>8059300</v>
      </c>
      <c r="K64" s="166"/>
      <c r="L64" s="166">
        <v>237473.97</v>
      </c>
      <c r="M64" s="166">
        <f t="shared" si="2"/>
        <v>8296773.9699999997</v>
      </c>
      <c r="N64" s="166">
        <f t="shared" si="3"/>
        <v>-638985</v>
      </c>
      <c r="O64" s="166">
        <f t="shared" si="3"/>
        <v>0</v>
      </c>
      <c r="P64" s="166">
        <f t="shared" si="3"/>
        <v>42540.03</v>
      </c>
      <c r="Q64" s="166">
        <f t="shared" si="3"/>
        <v>-596444.96999999974</v>
      </c>
    </row>
    <row r="65" spans="1:17" s="161" customFormat="1" ht="20.100000000000001" customHeight="1">
      <c r="A65" s="152" t="s">
        <v>538</v>
      </c>
      <c r="B65" s="159" t="s">
        <v>309</v>
      </c>
      <c r="C65" s="159">
        <v>6</v>
      </c>
      <c r="D65" s="159" t="s">
        <v>639</v>
      </c>
      <c r="E65" s="159" t="s">
        <v>379</v>
      </c>
      <c r="F65" s="165">
        <v>13542735</v>
      </c>
      <c r="G65" s="165">
        <v>429713</v>
      </c>
      <c r="H65" s="164">
        <v>466723.5</v>
      </c>
      <c r="I65" s="164">
        <f t="shared" si="1"/>
        <v>14009458.5</v>
      </c>
      <c r="J65" s="166">
        <v>14467900</v>
      </c>
      <c r="K65" s="166">
        <v>370558</v>
      </c>
      <c r="L65" s="166">
        <v>325760.34000000003</v>
      </c>
      <c r="M65" s="166">
        <f t="shared" si="2"/>
        <v>14793660.34</v>
      </c>
      <c r="N65" s="166">
        <f t="shared" si="3"/>
        <v>-925165</v>
      </c>
      <c r="O65" s="166">
        <f t="shared" si="3"/>
        <v>59155</v>
      </c>
      <c r="P65" s="166">
        <f t="shared" si="3"/>
        <v>140963.15999999997</v>
      </c>
      <c r="Q65" s="166">
        <f t="shared" si="3"/>
        <v>-784201.83999999985</v>
      </c>
    </row>
    <row r="66" spans="1:17" s="161" customFormat="1" ht="20.100000000000001" customHeight="1">
      <c r="A66" s="152" t="s">
        <v>538</v>
      </c>
      <c r="B66" s="159" t="s">
        <v>311</v>
      </c>
      <c r="C66" s="159">
        <v>7</v>
      </c>
      <c r="D66" s="159" t="s">
        <v>639</v>
      </c>
      <c r="E66" s="159" t="s">
        <v>379</v>
      </c>
      <c r="F66" s="165">
        <v>11992812</v>
      </c>
      <c r="G66" s="165">
        <v>287664</v>
      </c>
      <c r="H66" s="164">
        <v>425238.5</v>
      </c>
      <c r="I66" s="164">
        <f t="shared" si="1"/>
        <v>12418050.5</v>
      </c>
      <c r="J66" s="166">
        <v>12623000</v>
      </c>
      <c r="K66" s="166">
        <v>227664</v>
      </c>
      <c r="L66" s="166">
        <v>305323.68</v>
      </c>
      <c r="M66" s="166">
        <f t="shared" si="2"/>
        <v>12928323.68</v>
      </c>
      <c r="N66" s="166">
        <f t="shared" si="3"/>
        <v>-630188</v>
      </c>
      <c r="O66" s="166">
        <f t="shared" si="3"/>
        <v>60000</v>
      </c>
      <c r="P66" s="166">
        <f t="shared" si="3"/>
        <v>119914.82</v>
      </c>
      <c r="Q66" s="166">
        <f t="shared" si="3"/>
        <v>-510273.1799999997</v>
      </c>
    </row>
    <row r="67" spans="1:17" s="161" customFormat="1" ht="20.100000000000001" customHeight="1">
      <c r="A67" s="152" t="s">
        <v>538</v>
      </c>
      <c r="B67" s="159" t="s">
        <v>312</v>
      </c>
      <c r="C67" s="159">
        <v>8</v>
      </c>
      <c r="D67" s="159" t="s">
        <v>639</v>
      </c>
      <c r="E67" s="159" t="s">
        <v>379</v>
      </c>
      <c r="F67" s="165">
        <v>21312036</v>
      </c>
      <c r="G67" s="165">
        <v>559575</v>
      </c>
      <c r="H67" s="164">
        <v>698984.5</v>
      </c>
      <c r="I67" s="164">
        <f t="shared" si="1"/>
        <v>22011020.5</v>
      </c>
      <c r="J67" s="166">
        <v>22430100</v>
      </c>
      <c r="K67" s="166">
        <v>439575</v>
      </c>
      <c r="L67" s="166">
        <v>672774.8</v>
      </c>
      <c r="M67" s="166">
        <f t="shared" si="2"/>
        <v>23102874.800000001</v>
      </c>
      <c r="N67" s="166">
        <f t="shared" si="3"/>
        <v>-1118064</v>
      </c>
      <c r="O67" s="166">
        <f t="shared" si="3"/>
        <v>120000</v>
      </c>
      <c r="P67" s="166">
        <f t="shared" si="3"/>
        <v>26209.699999999953</v>
      </c>
      <c r="Q67" s="166">
        <f t="shared" si="3"/>
        <v>-1091854.3000000007</v>
      </c>
    </row>
    <row r="68" spans="1:17" s="161" customFormat="1" ht="20.100000000000001" customHeight="1">
      <c r="A68" s="152" t="s">
        <v>538</v>
      </c>
      <c r="B68" s="159" t="s">
        <v>310</v>
      </c>
      <c r="C68" s="159">
        <v>9</v>
      </c>
      <c r="D68" s="159" t="s">
        <v>639</v>
      </c>
      <c r="E68" s="159" t="s">
        <v>379</v>
      </c>
      <c r="F68" s="165">
        <v>13870715</v>
      </c>
      <c r="G68" s="165">
        <v>260352</v>
      </c>
      <c r="H68" s="164">
        <v>353641.5</v>
      </c>
      <c r="I68" s="164">
        <f t="shared" si="1"/>
        <v>14224356.5</v>
      </c>
      <c r="J68" s="166">
        <v>15827300</v>
      </c>
      <c r="K68" s="166">
        <v>200352</v>
      </c>
      <c r="L68" s="166">
        <v>298783.95</v>
      </c>
      <c r="M68" s="166">
        <f t="shared" si="2"/>
        <v>16126083.949999999</v>
      </c>
      <c r="N68" s="166">
        <f t="shared" si="3"/>
        <v>-1956585</v>
      </c>
      <c r="O68" s="166">
        <f t="shared" si="3"/>
        <v>60000</v>
      </c>
      <c r="P68" s="166">
        <f t="shared" si="3"/>
        <v>54857.549999999988</v>
      </c>
      <c r="Q68" s="166">
        <f t="shared" si="3"/>
        <v>-1901727.4499999993</v>
      </c>
    </row>
    <row r="69" spans="1:17" s="161" customFormat="1" ht="20.100000000000001" customHeight="1">
      <c r="A69" s="152" t="s">
        <v>538</v>
      </c>
      <c r="B69" s="159" t="s">
        <v>322</v>
      </c>
      <c r="C69" s="159">
        <v>10</v>
      </c>
      <c r="D69" s="159" t="s">
        <v>640</v>
      </c>
      <c r="E69" s="159" t="s">
        <v>641</v>
      </c>
      <c r="F69" s="165">
        <v>858000</v>
      </c>
      <c r="G69" s="165">
        <v>0</v>
      </c>
      <c r="H69" s="164"/>
      <c r="I69" s="164">
        <f t="shared" si="1"/>
        <v>858000</v>
      </c>
      <c r="J69" s="166">
        <v>732800</v>
      </c>
      <c r="K69" s="166"/>
      <c r="L69" s="166"/>
      <c r="M69" s="166">
        <f t="shared" si="2"/>
        <v>732800</v>
      </c>
      <c r="N69" s="166">
        <f t="shared" si="3"/>
        <v>125200</v>
      </c>
      <c r="O69" s="166">
        <f t="shared" si="3"/>
        <v>0</v>
      </c>
      <c r="P69" s="166">
        <f t="shared" si="3"/>
        <v>0</v>
      </c>
      <c r="Q69" s="166">
        <f t="shared" si="3"/>
        <v>125200</v>
      </c>
    </row>
    <row r="70" spans="1:17" s="161" customFormat="1" ht="20.100000000000001" customHeight="1">
      <c r="A70" s="152" t="s">
        <v>538</v>
      </c>
      <c r="B70" s="159" t="s">
        <v>313</v>
      </c>
      <c r="C70" s="159">
        <v>11</v>
      </c>
      <c r="D70" s="159" t="s">
        <v>640</v>
      </c>
      <c r="E70" s="159" t="s">
        <v>382</v>
      </c>
      <c r="F70" s="165">
        <v>9970135</v>
      </c>
      <c r="G70" s="165">
        <v>268108</v>
      </c>
      <c r="H70" s="164"/>
      <c r="I70" s="164">
        <f t="shared" si="1"/>
        <v>9970135</v>
      </c>
      <c r="J70" s="166">
        <v>10401300</v>
      </c>
      <c r="K70" s="166">
        <v>207908</v>
      </c>
      <c r="L70" s="166"/>
      <c r="M70" s="166">
        <f t="shared" si="2"/>
        <v>10401300</v>
      </c>
      <c r="N70" s="166">
        <f t="shared" si="3"/>
        <v>-431165</v>
      </c>
      <c r="O70" s="166">
        <f t="shared" si="3"/>
        <v>60200</v>
      </c>
      <c r="P70" s="166">
        <f t="shared" si="3"/>
        <v>0</v>
      </c>
      <c r="Q70" s="166">
        <f t="shared" si="3"/>
        <v>-431165</v>
      </c>
    </row>
    <row r="71" spans="1:17" s="161" customFormat="1" ht="20.100000000000001" customHeight="1">
      <c r="A71" s="152" t="s">
        <v>538</v>
      </c>
      <c r="B71" s="159" t="s">
        <v>314</v>
      </c>
      <c r="C71" s="159">
        <v>12</v>
      </c>
      <c r="D71" s="159" t="s">
        <v>640</v>
      </c>
      <c r="E71" s="159" t="s">
        <v>382</v>
      </c>
      <c r="F71" s="165">
        <v>7520404</v>
      </c>
      <c r="G71" s="165">
        <v>240104</v>
      </c>
      <c r="H71" s="164"/>
      <c r="I71" s="164">
        <f t="shared" si="1"/>
        <v>7520404</v>
      </c>
      <c r="J71" s="166">
        <v>8001000</v>
      </c>
      <c r="K71" s="166">
        <v>180104</v>
      </c>
      <c r="L71" s="166"/>
      <c r="M71" s="166">
        <f t="shared" si="2"/>
        <v>8001000</v>
      </c>
      <c r="N71" s="166">
        <f t="shared" si="3"/>
        <v>-480596</v>
      </c>
      <c r="O71" s="166">
        <f t="shared" si="3"/>
        <v>60000</v>
      </c>
      <c r="P71" s="166">
        <f t="shared" si="3"/>
        <v>0</v>
      </c>
      <c r="Q71" s="166">
        <f t="shared" si="3"/>
        <v>-480596</v>
      </c>
    </row>
    <row r="72" spans="1:17" s="161" customFormat="1" ht="20.100000000000001" customHeight="1">
      <c r="A72" s="152" t="s">
        <v>538</v>
      </c>
      <c r="B72" s="159" t="s">
        <v>315</v>
      </c>
      <c r="C72" s="159">
        <v>13</v>
      </c>
      <c r="D72" s="159" t="s">
        <v>640</v>
      </c>
      <c r="E72" s="159" t="s">
        <v>382</v>
      </c>
      <c r="F72" s="165">
        <v>11341018</v>
      </c>
      <c r="G72" s="165">
        <v>293228</v>
      </c>
      <c r="H72" s="164"/>
      <c r="I72" s="164">
        <f t="shared" si="1"/>
        <v>11341018</v>
      </c>
      <c r="J72" s="166">
        <v>11912600</v>
      </c>
      <c r="K72" s="166">
        <v>233228</v>
      </c>
      <c r="L72" s="166"/>
      <c r="M72" s="166">
        <f t="shared" si="2"/>
        <v>11912600</v>
      </c>
      <c r="N72" s="166">
        <f t="shared" si="3"/>
        <v>-571582</v>
      </c>
      <c r="O72" s="166">
        <f t="shared" si="3"/>
        <v>60000</v>
      </c>
      <c r="P72" s="166">
        <f t="shared" si="3"/>
        <v>0</v>
      </c>
      <c r="Q72" s="166">
        <f t="shared" si="3"/>
        <v>-571582</v>
      </c>
    </row>
    <row r="73" spans="1:17" s="161" customFormat="1" ht="20.100000000000001" customHeight="1">
      <c r="A73" s="152" t="s">
        <v>538</v>
      </c>
      <c r="B73" s="159" t="s">
        <v>317</v>
      </c>
      <c r="C73" s="159">
        <v>14</v>
      </c>
      <c r="D73" s="159" t="s">
        <v>640</v>
      </c>
      <c r="E73" s="159" t="s">
        <v>382</v>
      </c>
      <c r="F73" s="165">
        <v>8545934</v>
      </c>
      <c r="G73" s="165">
        <v>247724</v>
      </c>
      <c r="H73" s="164"/>
      <c r="I73" s="164">
        <f t="shared" ref="I73:I127" si="8">F73+H73</f>
        <v>8545934</v>
      </c>
      <c r="J73" s="166">
        <v>8890000</v>
      </c>
      <c r="K73" s="166">
        <v>188563</v>
      </c>
      <c r="L73" s="166"/>
      <c r="M73" s="166">
        <f t="shared" ref="M73:M127" si="9">J73+L73</f>
        <v>8890000</v>
      </c>
      <c r="N73" s="166">
        <f t="shared" ref="N73:Q127" si="10">F73-J73</f>
        <v>-344066</v>
      </c>
      <c r="O73" s="166">
        <f t="shared" si="10"/>
        <v>59161</v>
      </c>
      <c r="P73" s="166">
        <f t="shared" si="10"/>
        <v>0</v>
      </c>
      <c r="Q73" s="166">
        <f t="shared" si="10"/>
        <v>-344066</v>
      </c>
    </row>
    <row r="74" spans="1:17" s="161" customFormat="1" ht="20.100000000000001" customHeight="1">
      <c r="A74" s="152" t="s">
        <v>538</v>
      </c>
      <c r="B74" s="159" t="s">
        <v>316</v>
      </c>
      <c r="C74" s="159">
        <v>15</v>
      </c>
      <c r="D74" s="159" t="s">
        <v>640</v>
      </c>
      <c r="E74" s="159" t="s">
        <v>382</v>
      </c>
      <c r="F74" s="165">
        <v>3628838</v>
      </c>
      <c r="G74" s="165">
        <v>0</v>
      </c>
      <c r="H74" s="164"/>
      <c r="I74" s="164">
        <f t="shared" si="8"/>
        <v>3628838</v>
      </c>
      <c r="J74" s="166">
        <v>3911600</v>
      </c>
      <c r="K74" s="166"/>
      <c r="L74" s="166"/>
      <c r="M74" s="166">
        <f t="shared" si="9"/>
        <v>3911600</v>
      </c>
      <c r="N74" s="166">
        <f t="shared" si="10"/>
        <v>-282762</v>
      </c>
      <c r="O74" s="166">
        <f t="shared" si="10"/>
        <v>0</v>
      </c>
      <c r="P74" s="166">
        <f t="shared" si="10"/>
        <v>0</v>
      </c>
      <c r="Q74" s="166">
        <f t="shared" si="10"/>
        <v>-282762</v>
      </c>
    </row>
    <row r="75" spans="1:17" s="161" customFormat="1" ht="20.100000000000001" customHeight="1">
      <c r="A75" s="152" t="s">
        <v>538</v>
      </c>
      <c r="B75" s="159" t="s">
        <v>318</v>
      </c>
      <c r="C75" s="159">
        <v>16</v>
      </c>
      <c r="D75" s="159" t="s">
        <v>640</v>
      </c>
      <c r="E75" s="159" t="s">
        <v>382</v>
      </c>
      <c r="F75" s="165">
        <v>4240904</v>
      </c>
      <c r="G75" s="165">
        <v>241304</v>
      </c>
      <c r="H75" s="164"/>
      <c r="I75" s="164">
        <f t="shared" si="8"/>
        <v>4240904</v>
      </c>
      <c r="J75" s="166">
        <v>4445000</v>
      </c>
      <c r="K75" s="166">
        <v>181304</v>
      </c>
      <c r="L75" s="166"/>
      <c r="M75" s="166">
        <f t="shared" si="9"/>
        <v>4445000</v>
      </c>
      <c r="N75" s="166">
        <f t="shared" si="10"/>
        <v>-204096</v>
      </c>
      <c r="O75" s="166">
        <f t="shared" si="10"/>
        <v>60000</v>
      </c>
      <c r="P75" s="166">
        <f t="shared" si="10"/>
        <v>0</v>
      </c>
      <c r="Q75" s="166">
        <f t="shared" si="10"/>
        <v>-204096</v>
      </c>
    </row>
    <row r="76" spans="1:17" s="161" customFormat="1" ht="20.100000000000001" customHeight="1">
      <c r="A76" s="152" t="s">
        <v>538</v>
      </c>
      <c r="B76" s="158" t="s">
        <v>319</v>
      </c>
      <c r="C76" s="159">
        <v>17</v>
      </c>
      <c r="D76" s="159" t="s">
        <v>640</v>
      </c>
      <c r="E76" s="159" t="s">
        <v>382</v>
      </c>
      <c r="F76" s="165">
        <v>6878102</v>
      </c>
      <c r="G76" s="165">
        <v>241016</v>
      </c>
      <c r="H76" s="164"/>
      <c r="I76" s="164">
        <f t="shared" si="8"/>
        <v>6878102</v>
      </c>
      <c r="J76" s="166">
        <v>7112000</v>
      </c>
      <c r="K76" s="166">
        <v>181016</v>
      </c>
      <c r="L76" s="166"/>
      <c r="M76" s="166">
        <f t="shared" si="9"/>
        <v>7112000</v>
      </c>
      <c r="N76" s="166">
        <f t="shared" si="10"/>
        <v>-233898</v>
      </c>
      <c r="O76" s="166">
        <f t="shared" si="10"/>
        <v>60000</v>
      </c>
      <c r="P76" s="166">
        <f t="shared" si="10"/>
        <v>0</v>
      </c>
      <c r="Q76" s="166">
        <f t="shared" si="10"/>
        <v>-233898</v>
      </c>
    </row>
    <row r="77" spans="1:17" s="161" customFormat="1" ht="20.100000000000001" customHeight="1">
      <c r="A77" s="152" t="s">
        <v>538</v>
      </c>
      <c r="B77" s="158" t="s">
        <v>320</v>
      </c>
      <c r="C77" s="159">
        <v>18</v>
      </c>
      <c r="D77" s="159" t="s">
        <v>640</v>
      </c>
      <c r="E77" s="159" t="s">
        <v>382</v>
      </c>
      <c r="F77" s="165">
        <v>2450539</v>
      </c>
      <c r="G77" s="165">
        <v>230336</v>
      </c>
      <c r="H77" s="164"/>
      <c r="I77" s="164">
        <f t="shared" si="8"/>
        <v>2450539</v>
      </c>
      <c r="J77" s="166">
        <v>2578100</v>
      </c>
      <c r="K77" s="166">
        <v>170336</v>
      </c>
      <c r="L77" s="166"/>
      <c r="M77" s="166">
        <f t="shared" si="9"/>
        <v>2578100</v>
      </c>
      <c r="N77" s="166">
        <f t="shared" si="10"/>
        <v>-127561</v>
      </c>
      <c r="O77" s="166">
        <f t="shared" si="10"/>
        <v>60000</v>
      </c>
      <c r="P77" s="166">
        <f t="shared" si="10"/>
        <v>0</v>
      </c>
      <c r="Q77" s="166">
        <f t="shared" si="10"/>
        <v>-127561</v>
      </c>
    </row>
    <row r="78" spans="1:17" s="161" customFormat="1" ht="20.100000000000001" customHeight="1">
      <c r="A78" s="152" t="s">
        <v>538</v>
      </c>
      <c r="B78" s="158" t="s">
        <v>647</v>
      </c>
      <c r="C78" s="159">
        <v>19</v>
      </c>
      <c r="D78" s="159" t="s">
        <v>640</v>
      </c>
      <c r="E78" s="159" t="s">
        <v>382</v>
      </c>
      <c r="F78" s="165">
        <v>333657</v>
      </c>
      <c r="G78" s="165">
        <v>51359</v>
      </c>
      <c r="H78" s="164"/>
      <c r="I78" s="164">
        <f t="shared" si="8"/>
        <v>333657</v>
      </c>
      <c r="J78" s="166">
        <v>444500</v>
      </c>
      <c r="K78" s="166">
        <v>36359</v>
      </c>
      <c r="L78" s="166"/>
      <c r="M78" s="166">
        <f t="shared" si="9"/>
        <v>444500</v>
      </c>
      <c r="N78" s="166">
        <f t="shared" si="10"/>
        <v>-110843</v>
      </c>
      <c r="O78" s="166">
        <f t="shared" si="10"/>
        <v>15000</v>
      </c>
      <c r="P78" s="166">
        <f t="shared" si="10"/>
        <v>0</v>
      </c>
      <c r="Q78" s="166">
        <f t="shared" si="10"/>
        <v>-110843</v>
      </c>
    </row>
    <row r="79" spans="1:17" s="161" customFormat="1" ht="20.100000000000001" customHeight="1">
      <c r="A79" s="152"/>
      <c r="B79" s="158" t="s">
        <v>657</v>
      </c>
      <c r="C79" s="159"/>
      <c r="D79" s="159"/>
      <c r="E79" s="159"/>
      <c r="F79" s="165">
        <f>SUM(F60:F78)</f>
        <v>176618768</v>
      </c>
      <c r="G79" s="165">
        <f t="shared" ref="G79:Q79" si="11">SUM(G60:G78)</f>
        <v>4676963</v>
      </c>
      <c r="H79" s="165">
        <f t="shared" si="11"/>
        <v>4684468.5</v>
      </c>
      <c r="I79" s="165">
        <f t="shared" si="11"/>
        <v>181303236.5</v>
      </c>
      <c r="J79" s="165">
        <f t="shared" si="11"/>
        <v>185047300</v>
      </c>
      <c r="K79" s="165">
        <f t="shared" si="11"/>
        <v>3643447</v>
      </c>
      <c r="L79" s="165">
        <f t="shared" si="11"/>
        <v>3045062.1300000004</v>
      </c>
      <c r="M79" s="165">
        <f t="shared" si="11"/>
        <v>188092362.13</v>
      </c>
      <c r="N79" s="165">
        <f t="shared" si="11"/>
        <v>-8428532</v>
      </c>
      <c r="O79" s="165">
        <f t="shared" si="11"/>
        <v>1033516</v>
      </c>
      <c r="P79" s="165">
        <f t="shared" si="11"/>
        <v>1639406.3699999999</v>
      </c>
      <c r="Q79" s="165">
        <f t="shared" si="11"/>
        <v>-6789125.6299999999</v>
      </c>
    </row>
    <row r="80" spans="1:17" s="161" customFormat="1" ht="20.100000000000001" customHeight="1">
      <c r="A80" s="152" t="s">
        <v>539</v>
      </c>
      <c r="B80" s="159" t="s">
        <v>398</v>
      </c>
      <c r="C80" s="159">
        <v>1</v>
      </c>
      <c r="D80" s="159" t="s">
        <v>639</v>
      </c>
      <c r="E80" s="159" t="s">
        <v>374</v>
      </c>
      <c r="F80" s="165">
        <v>14244465</v>
      </c>
      <c r="G80" s="165">
        <v>265812</v>
      </c>
      <c r="H80" s="164">
        <v>750771</v>
      </c>
      <c r="I80" s="164">
        <f t="shared" si="8"/>
        <v>14995236</v>
      </c>
      <c r="J80" s="166">
        <v>14079500</v>
      </c>
      <c r="K80" s="166">
        <v>205812</v>
      </c>
      <c r="L80" s="166">
        <v>407098.24</v>
      </c>
      <c r="M80" s="166">
        <f t="shared" si="9"/>
        <v>14486598.24</v>
      </c>
      <c r="N80" s="166">
        <f t="shared" si="10"/>
        <v>164965</v>
      </c>
      <c r="O80" s="166">
        <f t="shared" si="10"/>
        <v>60000</v>
      </c>
      <c r="P80" s="166">
        <f t="shared" si="10"/>
        <v>343672.76</v>
      </c>
      <c r="Q80" s="166">
        <f t="shared" si="10"/>
        <v>508637.75999999978</v>
      </c>
    </row>
    <row r="81" spans="1:17" s="161" customFormat="1" ht="20.100000000000001" customHeight="1">
      <c r="A81" s="152" t="s">
        <v>539</v>
      </c>
      <c r="B81" s="159" t="s">
        <v>400</v>
      </c>
      <c r="C81" s="159">
        <v>2</v>
      </c>
      <c r="D81" s="159" t="s">
        <v>639</v>
      </c>
      <c r="E81" s="159" t="s">
        <v>377</v>
      </c>
      <c r="F81" s="165">
        <v>31888628</v>
      </c>
      <c r="G81" s="165">
        <v>347115</v>
      </c>
      <c r="H81" s="164">
        <v>1220727.5</v>
      </c>
      <c r="I81" s="164">
        <f t="shared" si="8"/>
        <v>33109355.5</v>
      </c>
      <c r="J81" s="166">
        <v>33111100</v>
      </c>
      <c r="K81" s="166">
        <v>272115</v>
      </c>
      <c r="L81" s="166">
        <v>644980.94999999995</v>
      </c>
      <c r="M81" s="166">
        <f t="shared" si="9"/>
        <v>33756080.950000003</v>
      </c>
      <c r="N81" s="166">
        <f t="shared" si="10"/>
        <v>-1222472</v>
      </c>
      <c r="O81" s="166">
        <f t="shared" si="10"/>
        <v>75000</v>
      </c>
      <c r="P81" s="166">
        <f t="shared" si="10"/>
        <v>575746.55000000005</v>
      </c>
      <c r="Q81" s="166">
        <f t="shared" si="10"/>
        <v>-646725.45000000298</v>
      </c>
    </row>
    <row r="82" spans="1:17" s="161" customFormat="1" ht="20.100000000000001" customHeight="1">
      <c r="A82" s="152" t="s">
        <v>539</v>
      </c>
      <c r="B82" s="159" t="s">
        <v>648</v>
      </c>
      <c r="C82" s="159">
        <v>3</v>
      </c>
      <c r="D82" s="159" t="s">
        <v>639</v>
      </c>
      <c r="E82" s="159" t="s">
        <v>377</v>
      </c>
      <c r="F82" s="165">
        <v>17021118</v>
      </c>
      <c r="G82" s="165">
        <v>0</v>
      </c>
      <c r="H82" s="164">
        <v>850307.5</v>
      </c>
      <c r="I82" s="164">
        <f t="shared" si="8"/>
        <v>17871425.5</v>
      </c>
      <c r="J82" s="166">
        <v>17575100</v>
      </c>
      <c r="K82" s="166"/>
      <c r="L82" s="166">
        <v>577131.24</v>
      </c>
      <c r="M82" s="166">
        <f t="shared" si="9"/>
        <v>18152231.239999998</v>
      </c>
      <c r="N82" s="166">
        <f t="shared" si="10"/>
        <v>-553982</v>
      </c>
      <c r="O82" s="166">
        <f t="shared" si="10"/>
        <v>0</v>
      </c>
      <c r="P82" s="166">
        <f t="shared" si="10"/>
        <v>273176.26</v>
      </c>
      <c r="Q82" s="166">
        <f t="shared" si="10"/>
        <v>-280805.73999999836</v>
      </c>
    </row>
    <row r="83" spans="1:17" s="161" customFormat="1" ht="20.100000000000001" customHeight="1">
      <c r="A83" s="152" t="s">
        <v>539</v>
      </c>
      <c r="B83" s="159" t="s">
        <v>402</v>
      </c>
      <c r="C83" s="159">
        <v>4</v>
      </c>
      <c r="D83" s="159" t="s">
        <v>639</v>
      </c>
      <c r="E83" s="159" t="s">
        <v>379</v>
      </c>
      <c r="F83" s="165">
        <v>21745198</v>
      </c>
      <c r="G83" s="165">
        <v>317400</v>
      </c>
      <c r="H83" s="164">
        <v>1061589.5</v>
      </c>
      <c r="I83" s="164">
        <f t="shared" si="8"/>
        <v>22806787.5</v>
      </c>
      <c r="J83" s="166">
        <v>22333000</v>
      </c>
      <c r="K83" s="166">
        <v>256680</v>
      </c>
      <c r="L83" s="166">
        <v>789672.49</v>
      </c>
      <c r="M83" s="166">
        <f t="shared" si="9"/>
        <v>23122672.489999998</v>
      </c>
      <c r="N83" s="166">
        <f t="shared" si="10"/>
        <v>-587802</v>
      </c>
      <c r="O83" s="166">
        <f t="shared" si="10"/>
        <v>60720</v>
      </c>
      <c r="P83" s="166">
        <f t="shared" si="10"/>
        <v>271917.01</v>
      </c>
      <c r="Q83" s="166">
        <f t="shared" si="10"/>
        <v>-315884.98999999836</v>
      </c>
    </row>
    <row r="84" spans="1:17" s="161" customFormat="1" ht="20.100000000000001" customHeight="1">
      <c r="A84" s="152" t="s">
        <v>539</v>
      </c>
      <c r="B84" s="159" t="s">
        <v>410</v>
      </c>
      <c r="C84" s="159">
        <v>5</v>
      </c>
      <c r="D84" s="159" t="s">
        <v>640</v>
      </c>
      <c r="E84" s="159" t="s">
        <v>641</v>
      </c>
      <c r="F84" s="165">
        <v>1623000</v>
      </c>
      <c r="G84" s="165">
        <v>0</v>
      </c>
      <c r="H84" s="164"/>
      <c r="I84" s="164">
        <f t="shared" si="8"/>
        <v>1623000</v>
      </c>
      <c r="J84" s="166">
        <v>1465600</v>
      </c>
      <c r="K84" s="166"/>
      <c r="L84" s="166"/>
      <c r="M84" s="166">
        <f t="shared" si="9"/>
        <v>1465600</v>
      </c>
      <c r="N84" s="166">
        <f t="shared" si="10"/>
        <v>157400</v>
      </c>
      <c r="O84" s="166">
        <f t="shared" si="10"/>
        <v>0</v>
      </c>
      <c r="P84" s="166">
        <f t="shared" si="10"/>
        <v>0</v>
      </c>
      <c r="Q84" s="166">
        <f t="shared" si="10"/>
        <v>157400</v>
      </c>
    </row>
    <row r="85" spans="1:17" s="161" customFormat="1" ht="20.100000000000001" customHeight="1">
      <c r="A85" s="152" t="s">
        <v>539</v>
      </c>
      <c r="B85" s="159" t="s">
        <v>403</v>
      </c>
      <c r="C85" s="159">
        <v>6</v>
      </c>
      <c r="D85" s="159" t="s">
        <v>640</v>
      </c>
      <c r="E85" s="159" t="s">
        <v>382</v>
      </c>
      <c r="F85" s="165">
        <v>5005816</v>
      </c>
      <c r="G85" s="165">
        <v>235616</v>
      </c>
      <c r="H85" s="164"/>
      <c r="I85" s="164">
        <f t="shared" si="8"/>
        <v>5005816</v>
      </c>
      <c r="J85" s="166">
        <v>5156200</v>
      </c>
      <c r="K85" s="166">
        <v>175616</v>
      </c>
      <c r="L85" s="166"/>
      <c r="M85" s="166">
        <f t="shared" si="9"/>
        <v>5156200</v>
      </c>
      <c r="N85" s="166">
        <f t="shared" si="10"/>
        <v>-150384</v>
      </c>
      <c r="O85" s="166">
        <f t="shared" si="10"/>
        <v>60000</v>
      </c>
      <c r="P85" s="166">
        <f t="shared" si="10"/>
        <v>0</v>
      </c>
      <c r="Q85" s="166">
        <f t="shared" si="10"/>
        <v>-150384</v>
      </c>
    </row>
    <row r="86" spans="1:17" s="161" customFormat="1" ht="20.100000000000001" customHeight="1">
      <c r="A86" s="152" t="s">
        <v>539</v>
      </c>
      <c r="B86" s="159" t="s">
        <v>405</v>
      </c>
      <c r="C86" s="159">
        <v>7</v>
      </c>
      <c r="D86" s="159" t="s">
        <v>640</v>
      </c>
      <c r="E86" s="159" t="s">
        <v>382</v>
      </c>
      <c r="F86" s="165">
        <v>3867695.9999999995</v>
      </c>
      <c r="G86" s="165">
        <v>234656</v>
      </c>
      <c r="H86" s="164"/>
      <c r="I86" s="164">
        <f t="shared" si="8"/>
        <v>3867695.9999999995</v>
      </c>
      <c r="J86" s="166">
        <v>3911600</v>
      </c>
      <c r="K86" s="166">
        <v>174656</v>
      </c>
      <c r="L86" s="166"/>
      <c r="M86" s="166">
        <f t="shared" si="9"/>
        <v>3911600</v>
      </c>
      <c r="N86" s="166">
        <f t="shared" si="10"/>
        <v>-43904.000000000466</v>
      </c>
      <c r="O86" s="166">
        <f t="shared" si="10"/>
        <v>60000</v>
      </c>
      <c r="P86" s="166">
        <f t="shared" si="10"/>
        <v>0</v>
      </c>
      <c r="Q86" s="166">
        <f t="shared" si="10"/>
        <v>-43904.000000000466</v>
      </c>
    </row>
    <row r="87" spans="1:17" s="161" customFormat="1" ht="20.100000000000001" customHeight="1">
      <c r="A87" s="152" t="s">
        <v>539</v>
      </c>
      <c r="B87" s="159" t="s">
        <v>406</v>
      </c>
      <c r="C87" s="159">
        <v>8</v>
      </c>
      <c r="D87" s="159" t="s">
        <v>640</v>
      </c>
      <c r="E87" s="159" t="s">
        <v>382</v>
      </c>
      <c r="F87" s="165">
        <v>4759286</v>
      </c>
      <c r="G87" s="165">
        <v>242336</v>
      </c>
      <c r="H87" s="164"/>
      <c r="I87" s="164">
        <f t="shared" si="8"/>
        <v>4759286</v>
      </c>
      <c r="J87" s="166">
        <v>4800600</v>
      </c>
      <c r="K87" s="166">
        <v>181736</v>
      </c>
      <c r="L87" s="166"/>
      <c r="M87" s="166">
        <f t="shared" si="9"/>
        <v>4800600</v>
      </c>
      <c r="N87" s="166">
        <f t="shared" si="10"/>
        <v>-41314</v>
      </c>
      <c r="O87" s="166">
        <f t="shared" si="10"/>
        <v>60600</v>
      </c>
      <c r="P87" s="166">
        <f t="shared" si="10"/>
        <v>0</v>
      </c>
      <c r="Q87" s="166">
        <f t="shared" si="10"/>
        <v>-41314</v>
      </c>
    </row>
    <row r="88" spans="1:17" s="161" customFormat="1" ht="20.100000000000001" customHeight="1">
      <c r="A88" s="152" t="s">
        <v>539</v>
      </c>
      <c r="B88" s="159" t="s">
        <v>407</v>
      </c>
      <c r="C88" s="159">
        <v>9</v>
      </c>
      <c r="D88" s="159" t="s">
        <v>640</v>
      </c>
      <c r="E88" s="159" t="s">
        <v>382</v>
      </c>
      <c r="F88" s="165">
        <v>8522565</v>
      </c>
      <c r="G88" s="165">
        <v>258152</v>
      </c>
      <c r="H88" s="164"/>
      <c r="I88" s="164">
        <f t="shared" si="8"/>
        <v>8522565</v>
      </c>
      <c r="J88" s="166">
        <v>8801100</v>
      </c>
      <c r="K88" s="166">
        <v>198152</v>
      </c>
      <c r="L88" s="166"/>
      <c r="M88" s="166">
        <f t="shared" si="9"/>
        <v>8801100</v>
      </c>
      <c r="N88" s="166">
        <f t="shared" si="10"/>
        <v>-278535</v>
      </c>
      <c r="O88" s="166">
        <f t="shared" si="10"/>
        <v>60000</v>
      </c>
      <c r="P88" s="166">
        <f t="shared" si="10"/>
        <v>0</v>
      </c>
      <c r="Q88" s="166">
        <f t="shared" si="10"/>
        <v>-278535</v>
      </c>
    </row>
    <row r="89" spans="1:17" s="161" customFormat="1" ht="20.100000000000001" customHeight="1">
      <c r="A89" s="152" t="s">
        <v>539</v>
      </c>
      <c r="B89" s="159" t="s">
        <v>408</v>
      </c>
      <c r="C89" s="159">
        <v>10</v>
      </c>
      <c r="D89" s="159" t="s">
        <v>640</v>
      </c>
      <c r="E89" s="159" t="s">
        <v>382</v>
      </c>
      <c r="F89" s="165">
        <v>4374399</v>
      </c>
      <c r="G89" s="165">
        <v>241436</v>
      </c>
      <c r="H89" s="164"/>
      <c r="I89" s="164">
        <f t="shared" si="8"/>
        <v>4374399</v>
      </c>
      <c r="J89" s="166">
        <v>4445000</v>
      </c>
      <c r="K89" s="166">
        <v>181436</v>
      </c>
      <c r="L89" s="166"/>
      <c r="M89" s="166">
        <f t="shared" si="9"/>
        <v>4445000</v>
      </c>
      <c r="N89" s="166">
        <f t="shared" si="10"/>
        <v>-70601</v>
      </c>
      <c r="O89" s="166">
        <f t="shared" si="10"/>
        <v>60000</v>
      </c>
      <c r="P89" s="166">
        <f t="shared" si="10"/>
        <v>0</v>
      </c>
      <c r="Q89" s="166">
        <f t="shared" si="10"/>
        <v>-70601</v>
      </c>
    </row>
    <row r="90" spans="1:17" s="161" customFormat="1" ht="20.100000000000001" customHeight="1">
      <c r="A90" s="152" t="s">
        <v>539</v>
      </c>
      <c r="B90" s="158" t="s">
        <v>409</v>
      </c>
      <c r="C90" s="159">
        <v>11</v>
      </c>
      <c r="D90" s="159" t="s">
        <v>640</v>
      </c>
      <c r="E90" s="159" t="s">
        <v>382</v>
      </c>
      <c r="F90" s="165">
        <v>3661688</v>
      </c>
      <c r="G90" s="165">
        <v>236588</v>
      </c>
      <c r="H90" s="164"/>
      <c r="I90" s="164">
        <f t="shared" si="8"/>
        <v>3661688</v>
      </c>
      <c r="J90" s="166">
        <v>3733800</v>
      </c>
      <c r="K90" s="166">
        <v>184588</v>
      </c>
      <c r="L90" s="166"/>
      <c r="M90" s="166">
        <f t="shared" si="9"/>
        <v>3733800</v>
      </c>
      <c r="N90" s="166">
        <f t="shared" si="10"/>
        <v>-72112</v>
      </c>
      <c r="O90" s="166">
        <f t="shared" si="10"/>
        <v>52000</v>
      </c>
      <c r="P90" s="166">
        <f t="shared" si="10"/>
        <v>0</v>
      </c>
      <c r="Q90" s="166">
        <f t="shared" si="10"/>
        <v>-72112</v>
      </c>
    </row>
    <row r="91" spans="1:17" s="161" customFormat="1" ht="20.100000000000001" customHeight="1">
      <c r="A91" s="152" t="s">
        <v>539</v>
      </c>
      <c r="B91" s="158" t="s">
        <v>404</v>
      </c>
      <c r="C91" s="159">
        <v>12</v>
      </c>
      <c r="D91" s="159" t="s">
        <v>640</v>
      </c>
      <c r="E91" s="159" t="s">
        <v>382</v>
      </c>
      <c r="F91" s="165">
        <v>2988324.0000000005</v>
      </c>
      <c r="G91" s="165">
        <v>233201</v>
      </c>
      <c r="H91" s="164"/>
      <c r="I91" s="164">
        <f t="shared" si="8"/>
        <v>2988324.0000000005</v>
      </c>
      <c r="J91" s="166">
        <v>3111500</v>
      </c>
      <c r="K91" s="166">
        <v>181201</v>
      </c>
      <c r="L91" s="166"/>
      <c r="M91" s="166">
        <f t="shared" si="9"/>
        <v>3111500</v>
      </c>
      <c r="N91" s="166">
        <f t="shared" si="10"/>
        <v>-123175.99999999953</v>
      </c>
      <c r="O91" s="166">
        <f t="shared" si="10"/>
        <v>52000</v>
      </c>
      <c r="P91" s="166">
        <f t="shared" si="10"/>
        <v>0</v>
      </c>
      <c r="Q91" s="166">
        <f t="shared" si="10"/>
        <v>-123175.99999999953</v>
      </c>
    </row>
    <row r="92" spans="1:17" s="161" customFormat="1" ht="20.100000000000001" customHeight="1">
      <c r="A92" s="152"/>
      <c r="B92" s="158" t="s">
        <v>658</v>
      </c>
      <c r="C92" s="159"/>
      <c r="D92" s="159"/>
      <c r="E92" s="159"/>
      <c r="F92" s="165">
        <f>SUM(F80:F91)</f>
        <v>119702183</v>
      </c>
      <c r="G92" s="165">
        <f t="shared" ref="G92:Q92" si="12">SUM(G80:G91)</f>
        <v>2612312</v>
      </c>
      <c r="H92" s="165">
        <f t="shared" si="12"/>
        <v>3883395.5</v>
      </c>
      <c r="I92" s="165">
        <f t="shared" si="12"/>
        <v>123585578.5</v>
      </c>
      <c r="J92" s="165">
        <f t="shared" si="12"/>
        <v>122524100</v>
      </c>
      <c r="K92" s="165">
        <f t="shared" si="12"/>
        <v>2011992</v>
      </c>
      <c r="L92" s="165">
        <f t="shared" si="12"/>
        <v>2418882.92</v>
      </c>
      <c r="M92" s="165">
        <f t="shared" si="12"/>
        <v>124942982.92</v>
      </c>
      <c r="N92" s="165">
        <f t="shared" si="12"/>
        <v>-2821917</v>
      </c>
      <c r="O92" s="165">
        <f t="shared" si="12"/>
        <v>600320</v>
      </c>
      <c r="P92" s="165">
        <f t="shared" si="12"/>
        <v>1464512.58</v>
      </c>
      <c r="Q92" s="165">
        <f t="shared" si="12"/>
        <v>-1357404.42</v>
      </c>
    </row>
    <row r="93" spans="1:17" s="161" customFormat="1" ht="20.100000000000001" customHeight="1">
      <c r="A93" s="152" t="s">
        <v>540</v>
      </c>
      <c r="B93" s="159" t="s">
        <v>388</v>
      </c>
      <c r="C93" s="159">
        <v>1</v>
      </c>
      <c r="D93" s="159" t="s">
        <v>639</v>
      </c>
      <c r="E93" s="159" t="s">
        <v>377</v>
      </c>
      <c r="F93" s="165">
        <v>23305540</v>
      </c>
      <c r="G93" s="165">
        <v>538972</v>
      </c>
      <c r="H93" s="164">
        <v>920980</v>
      </c>
      <c r="I93" s="164">
        <f t="shared" si="8"/>
        <v>24226520</v>
      </c>
      <c r="J93" s="166">
        <v>23109800</v>
      </c>
      <c r="K93" s="166">
        <v>418972</v>
      </c>
      <c r="L93" s="166">
        <v>512142.66</v>
      </c>
      <c r="M93" s="166">
        <f t="shared" si="9"/>
        <v>23621942.66</v>
      </c>
      <c r="N93" s="166">
        <f t="shared" si="10"/>
        <v>195740</v>
      </c>
      <c r="O93" s="166">
        <f t="shared" si="10"/>
        <v>120000</v>
      </c>
      <c r="P93" s="166">
        <f t="shared" si="10"/>
        <v>408837.34</v>
      </c>
      <c r="Q93" s="166">
        <f t="shared" si="10"/>
        <v>604577.33999999985</v>
      </c>
    </row>
    <row r="94" spans="1:17" s="161" customFormat="1" ht="20.100000000000001" customHeight="1">
      <c r="A94" s="152" t="s">
        <v>540</v>
      </c>
      <c r="B94" s="159" t="s">
        <v>390</v>
      </c>
      <c r="C94" s="159">
        <v>2</v>
      </c>
      <c r="D94" s="159" t="s">
        <v>639</v>
      </c>
      <c r="E94" s="159" t="s">
        <v>377</v>
      </c>
      <c r="F94" s="165">
        <v>28854446.999999996</v>
      </c>
      <c r="G94" s="165">
        <v>305904</v>
      </c>
      <c r="H94" s="164">
        <v>1117929.5</v>
      </c>
      <c r="I94" s="164">
        <f t="shared" si="8"/>
        <v>29972376.499999996</v>
      </c>
      <c r="J94" s="166">
        <v>29324200</v>
      </c>
      <c r="K94" s="166">
        <v>245904</v>
      </c>
      <c r="L94" s="166">
        <v>873871.52</v>
      </c>
      <c r="M94" s="166">
        <f t="shared" si="9"/>
        <v>30198071.52</v>
      </c>
      <c r="N94" s="166">
        <f t="shared" si="10"/>
        <v>-469753.00000000373</v>
      </c>
      <c r="O94" s="166">
        <f t="shared" si="10"/>
        <v>60000</v>
      </c>
      <c r="P94" s="166">
        <f t="shared" si="10"/>
        <v>244057.97999999998</v>
      </c>
      <c r="Q94" s="166">
        <f t="shared" si="10"/>
        <v>-225695.02000000328</v>
      </c>
    </row>
    <row r="95" spans="1:17" s="161" customFormat="1" ht="20.100000000000001" customHeight="1">
      <c r="A95" s="152" t="s">
        <v>540</v>
      </c>
      <c r="B95" s="159" t="s">
        <v>391</v>
      </c>
      <c r="C95" s="159">
        <v>3</v>
      </c>
      <c r="D95" s="159" t="s">
        <v>639</v>
      </c>
      <c r="E95" s="159" t="s">
        <v>377</v>
      </c>
      <c r="F95" s="165">
        <v>28151307</v>
      </c>
      <c r="G95" s="165">
        <v>616492</v>
      </c>
      <c r="H95" s="164">
        <v>1124690</v>
      </c>
      <c r="I95" s="164">
        <f t="shared" si="8"/>
        <v>29275997</v>
      </c>
      <c r="J95" s="166">
        <v>28159000</v>
      </c>
      <c r="K95" s="166">
        <v>496492</v>
      </c>
      <c r="L95" s="166">
        <v>797029.69</v>
      </c>
      <c r="M95" s="166">
        <f t="shared" si="9"/>
        <v>28956029.690000001</v>
      </c>
      <c r="N95" s="166">
        <f t="shared" si="10"/>
        <v>-7693</v>
      </c>
      <c r="O95" s="166">
        <f t="shared" si="10"/>
        <v>120000</v>
      </c>
      <c r="P95" s="166">
        <f t="shared" si="10"/>
        <v>327660.31000000006</v>
      </c>
      <c r="Q95" s="166">
        <f t="shared" si="10"/>
        <v>319967.30999999866</v>
      </c>
    </row>
    <row r="96" spans="1:17" s="161" customFormat="1" ht="20.100000000000001" customHeight="1">
      <c r="A96" s="152" t="s">
        <v>540</v>
      </c>
      <c r="B96" s="159" t="s">
        <v>396</v>
      </c>
      <c r="C96" s="159">
        <v>4</v>
      </c>
      <c r="D96" s="159" t="s">
        <v>640</v>
      </c>
      <c r="E96" s="159" t="s">
        <v>641</v>
      </c>
      <c r="F96" s="165">
        <v>1338750</v>
      </c>
      <c r="G96" s="165">
        <v>0</v>
      </c>
      <c r="H96" s="164"/>
      <c r="I96" s="164">
        <f t="shared" si="8"/>
        <v>1338750</v>
      </c>
      <c r="J96" s="166">
        <v>1282400</v>
      </c>
      <c r="K96" s="166"/>
      <c r="L96" s="166"/>
      <c r="M96" s="166">
        <f t="shared" si="9"/>
        <v>1282400</v>
      </c>
      <c r="N96" s="166">
        <f t="shared" si="10"/>
        <v>56350</v>
      </c>
      <c r="O96" s="166">
        <f t="shared" si="10"/>
        <v>0</v>
      </c>
      <c r="P96" s="166">
        <f t="shared" si="10"/>
        <v>0</v>
      </c>
      <c r="Q96" s="166">
        <f t="shared" si="10"/>
        <v>56350</v>
      </c>
    </row>
    <row r="97" spans="1:17" s="161" customFormat="1" ht="20.100000000000001" customHeight="1">
      <c r="A97" s="152" t="s">
        <v>540</v>
      </c>
      <c r="B97" s="159" t="s">
        <v>392</v>
      </c>
      <c r="C97" s="159">
        <v>5</v>
      </c>
      <c r="D97" s="159" t="s">
        <v>640</v>
      </c>
      <c r="E97" s="159" t="s">
        <v>382</v>
      </c>
      <c r="F97" s="165">
        <v>6302691</v>
      </c>
      <c r="G97" s="165">
        <v>241376</v>
      </c>
      <c r="H97" s="164"/>
      <c r="I97" s="164">
        <f t="shared" si="8"/>
        <v>6302691</v>
      </c>
      <c r="J97" s="166">
        <v>6489700</v>
      </c>
      <c r="K97" s="166">
        <v>181376</v>
      </c>
      <c r="L97" s="166"/>
      <c r="M97" s="166">
        <f t="shared" si="9"/>
        <v>6489700</v>
      </c>
      <c r="N97" s="166">
        <f t="shared" si="10"/>
        <v>-187009</v>
      </c>
      <c r="O97" s="166">
        <f t="shared" si="10"/>
        <v>60000</v>
      </c>
      <c r="P97" s="166">
        <f t="shared" si="10"/>
        <v>0</v>
      </c>
      <c r="Q97" s="166">
        <f t="shared" si="10"/>
        <v>-187009</v>
      </c>
    </row>
    <row r="98" spans="1:17" s="161" customFormat="1" ht="20.100000000000001" customHeight="1">
      <c r="A98" s="152" t="s">
        <v>540</v>
      </c>
      <c r="B98" s="159" t="s">
        <v>393</v>
      </c>
      <c r="C98" s="159">
        <v>6</v>
      </c>
      <c r="D98" s="159" t="s">
        <v>640</v>
      </c>
      <c r="E98" s="159" t="s">
        <v>382</v>
      </c>
      <c r="F98" s="165">
        <v>10239381</v>
      </c>
      <c r="G98" s="165">
        <v>286856</v>
      </c>
      <c r="H98" s="164"/>
      <c r="I98" s="164">
        <f t="shared" si="8"/>
        <v>10239381</v>
      </c>
      <c r="J98" s="166">
        <v>10401300</v>
      </c>
      <c r="K98" s="166">
        <v>226856</v>
      </c>
      <c r="L98" s="166"/>
      <c r="M98" s="166">
        <f t="shared" si="9"/>
        <v>10401300</v>
      </c>
      <c r="N98" s="166">
        <f t="shared" si="10"/>
        <v>-161919</v>
      </c>
      <c r="O98" s="166">
        <f t="shared" si="10"/>
        <v>60000</v>
      </c>
      <c r="P98" s="166">
        <f t="shared" si="10"/>
        <v>0</v>
      </c>
      <c r="Q98" s="166">
        <f t="shared" si="10"/>
        <v>-161919</v>
      </c>
    </row>
    <row r="99" spans="1:17" s="161" customFormat="1" ht="20.100000000000001" customHeight="1">
      <c r="A99" s="152" t="s">
        <v>540</v>
      </c>
      <c r="B99" s="159" t="s">
        <v>394</v>
      </c>
      <c r="C99" s="159">
        <v>7</v>
      </c>
      <c r="D99" s="159" t="s">
        <v>640</v>
      </c>
      <c r="E99" s="159" t="s">
        <v>382</v>
      </c>
      <c r="F99" s="165">
        <f>5027751-2440</f>
        <v>5025311</v>
      </c>
      <c r="G99" s="165">
        <f>227576-2440</f>
        <v>225136</v>
      </c>
      <c r="H99" s="164"/>
      <c r="I99" s="164">
        <f t="shared" si="8"/>
        <v>5025311</v>
      </c>
      <c r="J99" s="166">
        <v>5245100</v>
      </c>
      <c r="K99" s="166">
        <v>167576</v>
      </c>
      <c r="L99" s="166"/>
      <c r="M99" s="166">
        <f t="shared" si="9"/>
        <v>5245100</v>
      </c>
      <c r="N99" s="166">
        <f t="shared" si="10"/>
        <v>-219789</v>
      </c>
      <c r="O99" s="166">
        <f t="shared" si="10"/>
        <v>57560</v>
      </c>
      <c r="P99" s="166">
        <f t="shared" si="10"/>
        <v>0</v>
      </c>
      <c r="Q99" s="166">
        <f t="shared" si="10"/>
        <v>-219789</v>
      </c>
    </row>
    <row r="100" spans="1:17" s="161" customFormat="1" ht="20.100000000000001" customHeight="1">
      <c r="A100" s="152" t="s">
        <v>540</v>
      </c>
      <c r="B100" s="159" t="s">
        <v>395</v>
      </c>
      <c r="C100" s="159">
        <v>8</v>
      </c>
      <c r="D100" s="159" t="s">
        <v>640</v>
      </c>
      <c r="E100" s="159" t="s">
        <v>382</v>
      </c>
      <c r="F100" s="165">
        <v>7125959</v>
      </c>
      <c r="G100" s="165">
        <v>248144</v>
      </c>
      <c r="H100" s="164"/>
      <c r="I100" s="164">
        <f t="shared" si="8"/>
        <v>7125959</v>
      </c>
      <c r="J100" s="166">
        <v>7200900</v>
      </c>
      <c r="K100" s="166">
        <v>188144</v>
      </c>
      <c r="L100" s="166"/>
      <c r="M100" s="166">
        <f t="shared" si="9"/>
        <v>7200900</v>
      </c>
      <c r="N100" s="166">
        <f t="shared" si="10"/>
        <v>-74941</v>
      </c>
      <c r="O100" s="166">
        <f t="shared" si="10"/>
        <v>60000</v>
      </c>
      <c r="P100" s="166">
        <f t="shared" si="10"/>
        <v>0</v>
      </c>
      <c r="Q100" s="166">
        <f t="shared" si="10"/>
        <v>-74941</v>
      </c>
    </row>
    <row r="101" spans="1:17" s="161" customFormat="1" ht="20.100000000000001" customHeight="1">
      <c r="A101" s="152"/>
      <c r="B101" s="159" t="s">
        <v>659</v>
      </c>
      <c r="C101" s="159"/>
      <c r="D101" s="159"/>
      <c r="E101" s="159"/>
      <c r="F101" s="165">
        <f>SUM(F93:F100)</f>
        <v>110343386</v>
      </c>
      <c r="G101" s="165">
        <f t="shared" ref="G101:Q101" si="13">SUM(G93:G100)</f>
        <v>2462880</v>
      </c>
      <c r="H101" s="165">
        <f t="shared" si="13"/>
        <v>3163599.5</v>
      </c>
      <c r="I101" s="165">
        <f t="shared" si="13"/>
        <v>113506985.5</v>
      </c>
      <c r="J101" s="165">
        <f t="shared" si="13"/>
        <v>111212400</v>
      </c>
      <c r="K101" s="165">
        <f t="shared" si="13"/>
        <v>1925320</v>
      </c>
      <c r="L101" s="165">
        <f t="shared" si="13"/>
        <v>2183043.87</v>
      </c>
      <c r="M101" s="165">
        <f t="shared" si="13"/>
        <v>113395443.87</v>
      </c>
      <c r="N101" s="165">
        <f t="shared" si="13"/>
        <v>-869014.00000000373</v>
      </c>
      <c r="O101" s="165">
        <f t="shared" si="13"/>
        <v>537560</v>
      </c>
      <c r="P101" s="165">
        <f t="shared" si="13"/>
        <v>980555.63000000012</v>
      </c>
      <c r="Q101" s="165">
        <f t="shared" si="13"/>
        <v>111541.62999999523</v>
      </c>
    </row>
    <row r="102" spans="1:17" s="161" customFormat="1" ht="20.100000000000001" customHeight="1">
      <c r="A102" s="152" t="s">
        <v>541</v>
      </c>
      <c r="B102" s="159" t="s">
        <v>470</v>
      </c>
      <c r="C102" s="159">
        <v>1</v>
      </c>
      <c r="D102" s="159" t="s">
        <v>639</v>
      </c>
      <c r="E102" s="159" t="s">
        <v>374</v>
      </c>
      <c r="F102" s="165">
        <v>23318474</v>
      </c>
      <c r="G102" s="165">
        <v>557196</v>
      </c>
      <c r="H102" s="164">
        <v>1058932.5</v>
      </c>
      <c r="I102" s="164">
        <f t="shared" si="8"/>
        <v>24377406.5</v>
      </c>
      <c r="J102" s="166">
        <v>22915600</v>
      </c>
      <c r="K102" s="166">
        <v>437196</v>
      </c>
      <c r="L102" s="166">
        <v>483940.08</v>
      </c>
      <c r="M102" s="166">
        <f t="shared" si="9"/>
        <v>23399540.079999998</v>
      </c>
      <c r="N102" s="166">
        <f t="shared" si="10"/>
        <v>402874</v>
      </c>
      <c r="O102" s="166">
        <f t="shared" si="10"/>
        <v>120000</v>
      </c>
      <c r="P102" s="166">
        <f t="shared" si="10"/>
        <v>574992.41999999993</v>
      </c>
      <c r="Q102" s="166">
        <f t="shared" si="10"/>
        <v>977866.42000000179</v>
      </c>
    </row>
    <row r="103" spans="1:17" s="161" customFormat="1" ht="20.100000000000001" customHeight="1">
      <c r="A103" s="152" t="s">
        <v>541</v>
      </c>
      <c r="B103" s="159" t="s">
        <v>472</v>
      </c>
      <c r="C103" s="159">
        <v>2</v>
      </c>
      <c r="D103" s="159" t="s">
        <v>639</v>
      </c>
      <c r="E103" s="159" t="s">
        <v>374</v>
      </c>
      <c r="F103" s="165">
        <v>14354471</v>
      </c>
      <c r="G103" s="165">
        <v>236796</v>
      </c>
      <c r="H103" s="164">
        <v>799135.5</v>
      </c>
      <c r="I103" s="164">
        <f t="shared" si="8"/>
        <v>15153606.5</v>
      </c>
      <c r="J103" s="166">
        <v>14370800</v>
      </c>
      <c r="K103" s="166">
        <v>221646</v>
      </c>
      <c r="L103" s="166">
        <v>342518.4</v>
      </c>
      <c r="M103" s="166">
        <f t="shared" si="9"/>
        <v>14713318.4</v>
      </c>
      <c r="N103" s="166">
        <f t="shared" si="10"/>
        <v>-16329</v>
      </c>
      <c r="O103" s="166">
        <f t="shared" si="10"/>
        <v>15150</v>
      </c>
      <c r="P103" s="166">
        <f t="shared" si="10"/>
        <v>456617.1</v>
      </c>
      <c r="Q103" s="166">
        <f t="shared" si="10"/>
        <v>440288.09999999963</v>
      </c>
    </row>
    <row r="104" spans="1:17" s="161" customFormat="1" ht="20.100000000000001" customHeight="1">
      <c r="A104" s="152" t="s">
        <v>541</v>
      </c>
      <c r="B104" s="159" t="s">
        <v>473</v>
      </c>
      <c r="C104" s="159">
        <v>3</v>
      </c>
      <c r="D104" s="159" t="s">
        <v>639</v>
      </c>
      <c r="E104" s="159" t="s">
        <v>374</v>
      </c>
      <c r="F104" s="165">
        <v>11667025</v>
      </c>
      <c r="G104" s="165">
        <v>243972</v>
      </c>
      <c r="H104" s="164">
        <v>672407</v>
      </c>
      <c r="I104" s="164">
        <f t="shared" si="8"/>
        <v>12339432</v>
      </c>
      <c r="J104" s="166">
        <v>11943300</v>
      </c>
      <c r="K104" s="166">
        <v>183972</v>
      </c>
      <c r="L104" s="166">
        <v>402193.44</v>
      </c>
      <c r="M104" s="166">
        <f t="shared" si="9"/>
        <v>12345493.439999999</v>
      </c>
      <c r="N104" s="166">
        <f t="shared" si="10"/>
        <v>-276275</v>
      </c>
      <c r="O104" s="166">
        <f t="shared" si="10"/>
        <v>60000</v>
      </c>
      <c r="P104" s="166">
        <f t="shared" si="10"/>
        <v>270213.56</v>
      </c>
      <c r="Q104" s="166">
        <f t="shared" si="10"/>
        <v>-6061.4399999994785</v>
      </c>
    </row>
    <row r="105" spans="1:17" s="161" customFormat="1" ht="20.100000000000001" customHeight="1">
      <c r="A105" s="152" t="s">
        <v>541</v>
      </c>
      <c r="B105" s="159" t="s">
        <v>474</v>
      </c>
      <c r="C105" s="159">
        <v>4</v>
      </c>
      <c r="D105" s="159" t="s">
        <v>639</v>
      </c>
      <c r="E105" s="159" t="s">
        <v>377</v>
      </c>
      <c r="F105" s="165">
        <v>27266600.999999996</v>
      </c>
      <c r="G105" s="165">
        <v>298808</v>
      </c>
      <c r="H105" s="164">
        <v>1178856</v>
      </c>
      <c r="I105" s="164">
        <f t="shared" si="8"/>
        <v>28445456.999999996</v>
      </c>
      <c r="J105" s="166">
        <v>27576400</v>
      </c>
      <c r="K105" s="166">
        <v>230808</v>
      </c>
      <c r="L105" s="166">
        <v>644572.21</v>
      </c>
      <c r="M105" s="166">
        <f t="shared" si="9"/>
        <v>28220972.210000001</v>
      </c>
      <c r="N105" s="166">
        <f t="shared" si="10"/>
        <v>-309799.00000000373</v>
      </c>
      <c r="O105" s="166">
        <f t="shared" si="10"/>
        <v>68000</v>
      </c>
      <c r="P105" s="166">
        <f t="shared" si="10"/>
        <v>534283.79</v>
      </c>
      <c r="Q105" s="166">
        <f t="shared" si="10"/>
        <v>224484.78999999538</v>
      </c>
    </row>
    <row r="106" spans="1:17" s="161" customFormat="1" ht="20.100000000000001" customHeight="1">
      <c r="A106" s="152" t="s">
        <v>541</v>
      </c>
      <c r="B106" s="159" t="s">
        <v>475</v>
      </c>
      <c r="C106" s="159">
        <v>5</v>
      </c>
      <c r="D106" s="159" t="s">
        <v>639</v>
      </c>
      <c r="E106" s="159" t="s">
        <v>379</v>
      </c>
      <c r="F106" s="165">
        <f>14726165-2400</f>
        <v>14723765</v>
      </c>
      <c r="G106" s="165">
        <v>632100</v>
      </c>
      <c r="H106" s="164">
        <v>457344.5</v>
      </c>
      <c r="I106" s="164">
        <f t="shared" si="8"/>
        <v>15181109.5</v>
      </c>
      <c r="J106" s="166">
        <v>15633100</v>
      </c>
      <c r="K106" s="166">
        <v>512100</v>
      </c>
      <c r="L106" s="166">
        <v>343335.86</v>
      </c>
      <c r="M106" s="166">
        <f t="shared" si="9"/>
        <v>15976435.859999999</v>
      </c>
      <c r="N106" s="166">
        <f t="shared" si="10"/>
        <v>-909335</v>
      </c>
      <c r="O106" s="166">
        <f t="shared" si="10"/>
        <v>120000</v>
      </c>
      <c r="P106" s="166">
        <f t="shared" si="10"/>
        <v>114008.64000000001</v>
      </c>
      <c r="Q106" s="166">
        <f t="shared" si="10"/>
        <v>-795326.3599999994</v>
      </c>
    </row>
    <row r="107" spans="1:17" s="161" customFormat="1" ht="20.100000000000001" customHeight="1">
      <c r="A107" s="152" t="s">
        <v>541</v>
      </c>
      <c r="B107" s="159" t="s">
        <v>476</v>
      </c>
      <c r="C107" s="159">
        <v>6</v>
      </c>
      <c r="D107" s="159" t="s">
        <v>639</v>
      </c>
      <c r="E107" s="159" t="s">
        <v>379</v>
      </c>
      <c r="F107" s="165">
        <v>36908733</v>
      </c>
      <c r="G107" s="165">
        <v>371060</v>
      </c>
      <c r="H107" s="164">
        <v>1193408</v>
      </c>
      <c r="I107" s="164">
        <f t="shared" si="8"/>
        <v>38102141</v>
      </c>
      <c r="J107" s="166">
        <v>38548700</v>
      </c>
      <c r="K107" s="166">
        <v>311060</v>
      </c>
      <c r="L107" s="166">
        <v>1391736.45</v>
      </c>
      <c r="M107" s="166">
        <f t="shared" si="9"/>
        <v>39940436.450000003</v>
      </c>
      <c r="N107" s="166">
        <f t="shared" si="10"/>
        <v>-1639967</v>
      </c>
      <c r="O107" s="166">
        <f t="shared" si="10"/>
        <v>60000</v>
      </c>
      <c r="P107" s="166">
        <f t="shared" si="10"/>
        <v>-198328.44999999995</v>
      </c>
      <c r="Q107" s="166">
        <f t="shared" si="10"/>
        <v>-1838295.450000003</v>
      </c>
    </row>
    <row r="108" spans="1:17" s="161" customFormat="1" ht="20.100000000000001" customHeight="1">
      <c r="A108" s="152" t="s">
        <v>541</v>
      </c>
      <c r="B108" s="159" t="s">
        <v>477</v>
      </c>
      <c r="C108" s="159">
        <v>7</v>
      </c>
      <c r="D108" s="159" t="s">
        <v>639</v>
      </c>
      <c r="E108" s="159" t="s">
        <v>379</v>
      </c>
      <c r="F108" s="165">
        <v>17199915</v>
      </c>
      <c r="G108" s="165">
        <v>636000</v>
      </c>
      <c r="H108" s="164">
        <v>386942</v>
      </c>
      <c r="I108" s="164">
        <f t="shared" si="8"/>
        <v>17586857</v>
      </c>
      <c r="J108" s="166">
        <v>18351900</v>
      </c>
      <c r="K108" s="166">
        <v>455122</v>
      </c>
      <c r="L108" s="166">
        <v>389931.45</v>
      </c>
      <c r="M108" s="166">
        <f t="shared" si="9"/>
        <v>18741831.449999999</v>
      </c>
      <c r="N108" s="166">
        <f t="shared" si="10"/>
        <v>-1151985</v>
      </c>
      <c r="O108" s="166">
        <f t="shared" si="10"/>
        <v>180878</v>
      </c>
      <c r="P108" s="166">
        <f t="shared" si="10"/>
        <v>-2989.4500000000116</v>
      </c>
      <c r="Q108" s="166">
        <f t="shared" si="10"/>
        <v>-1154974.4499999993</v>
      </c>
    </row>
    <row r="109" spans="1:17" s="161" customFormat="1" ht="20.100000000000001" customHeight="1">
      <c r="A109" s="152" t="s">
        <v>541</v>
      </c>
      <c r="B109" s="159" t="s">
        <v>478</v>
      </c>
      <c r="C109" s="159">
        <v>8</v>
      </c>
      <c r="D109" s="159" t="s">
        <v>639</v>
      </c>
      <c r="E109" s="159" t="s">
        <v>379</v>
      </c>
      <c r="F109" s="165">
        <v>8619427</v>
      </c>
      <c r="G109" s="165">
        <v>251892</v>
      </c>
      <c r="H109" s="164">
        <v>337247.5</v>
      </c>
      <c r="I109" s="164">
        <f t="shared" si="8"/>
        <v>8956674.5</v>
      </c>
      <c r="J109" s="166">
        <v>9127400</v>
      </c>
      <c r="K109" s="166">
        <v>191642</v>
      </c>
      <c r="L109" s="166">
        <v>281617.13999999996</v>
      </c>
      <c r="M109" s="166">
        <f t="shared" si="9"/>
        <v>9409017.1400000006</v>
      </c>
      <c r="N109" s="166">
        <f t="shared" si="10"/>
        <v>-507973</v>
      </c>
      <c r="O109" s="166">
        <f t="shared" si="10"/>
        <v>60250</v>
      </c>
      <c r="P109" s="166">
        <f t="shared" si="10"/>
        <v>55630.360000000044</v>
      </c>
      <c r="Q109" s="166">
        <f t="shared" si="10"/>
        <v>-452342.6400000006</v>
      </c>
    </row>
    <row r="110" spans="1:17" s="161" customFormat="1" ht="20.100000000000001" customHeight="1">
      <c r="A110" s="152" t="s">
        <v>541</v>
      </c>
      <c r="B110" s="159" t="s">
        <v>485</v>
      </c>
      <c r="C110" s="159">
        <v>9</v>
      </c>
      <c r="D110" s="159" t="s">
        <v>640</v>
      </c>
      <c r="E110" s="159" t="s">
        <v>641</v>
      </c>
      <c r="F110" s="165">
        <v>1049250</v>
      </c>
      <c r="G110" s="165">
        <v>0</v>
      </c>
      <c r="H110" s="164"/>
      <c r="I110" s="164">
        <f t="shared" si="8"/>
        <v>1049250</v>
      </c>
      <c r="J110" s="166">
        <v>916000</v>
      </c>
      <c r="K110" s="166"/>
      <c r="L110" s="166"/>
      <c r="M110" s="166">
        <f t="shared" si="9"/>
        <v>916000</v>
      </c>
      <c r="N110" s="166">
        <f t="shared" si="10"/>
        <v>133250</v>
      </c>
      <c r="O110" s="166">
        <f t="shared" si="10"/>
        <v>0</v>
      </c>
      <c r="P110" s="166">
        <f t="shared" si="10"/>
        <v>0</v>
      </c>
      <c r="Q110" s="166">
        <f t="shared" si="10"/>
        <v>133250</v>
      </c>
    </row>
    <row r="111" spans="1:17" s="161" customFormat="1" ht="20.100000000000001" customHeight="1">
      <c r="A111" s="152" t="s">
        <v>541</v>
      </c>
      <c r="B111" s="159" t="s">
        <v>479</v>
      </c>
      <c r="C111" s="159">
        <v>10</v>
      </c>
      <c r="D111" s="159" t="s">
        <v>640</v>
      </c>
      <c r="E111" s="159" t="s">
        <v>382</v>
      </c>
      <c r="F111" s="165">
        <v>8403955</v>
      </c>
      <c r="G111" s="165">
        <v>280832</v>
      </c>
      <c r="H111" s="164"/>
      <c r="I111" s="164">
        <f t="shared" si="8"/>
        <v>8403955</v>
      </c>
      <c r="J111" s="166">
        <v>8712200</v>
      </c>
      <c r="K111" s="166">
        <v>220232</v>
      </c>
      <c r="L111" s="166"/>
      <c r="M111" s="166">
        <f t="shared" si="9"/>
        <v>8712200</v>
      </c>
      <c r="N111" s="166">
        <f t="shared" si="10"/>
        <v>-308245</v>
      </c>
      <c r="O111" s="166">
        <f t="shared" si="10"/>
        <v>60600</v>
      </c>
      <c r="P111" s="166">
        <f t="shared" si="10"/>
        <v>0</v>
      </c>
      <c r="Q111" s="166">
        <f t="shared" si="10"/>
        <v>-308245</v>
      </c>
    </row>
    <row r="112" spans="1:17" s="161" customFormat="1" ht="20.100000000000001" customHeight="1">
      <c r="A112" s="152" t="s">
        <v>541</v>
      </c>
      <c r="B112" s="159" t="s">
        <v>480</v>
      </c>
      <c r="C112" s="159">
        <v>11</v>
      </c>
      <c r="D112" s="159" t="s">
        <v>640</v>
      </c>
      <c r="E112" s="159" t="s">
        <v>382</v>
      </c>
      <c r="F112" s="165">
        <v>9549457</v>
      </c>
      <c r="G112" s="165">
        <v>252032</v>
      </c>
      <c r="H112" s="164"/>
      <c r="I112" s="164">
        <f t="shared" si="8"/>
        <v>9549457</v>
      </c>
      <c r="J112" s="166">
        <v>10045700</v>
      </c>
      <c r="K112" s="166">
        <v>191432</v>
      </c>
      <c r="L112" s="166"/>
      <c r="M112" s="166">
        <f t="shared" si="9"/>
        <v>10045700</v>
      </c>
      <c r="N112" s="166">
        <f t="shared" si="10"/>
        <v>-496243</v>
      </c>
      <c r="O112" s="166">
        <f t="shared" si="10"/>
        <v>60600</v>
      </c>
      <c r="P112" s="166">
        <f t="shared" si="10"/>
        <v>0</v>
      </c>
      <c r="Q112" s="166">
        <f t="shared" si="10"/>
        <v>-496243</v>
      </c>
    </row>
    <row r="113" spans="1:17" s="161" customFormat="1" ht="20.100000000000001" customHeight="1">
      <c r="A113" s="152" t="s">
        <v>541</v>
      </c>
      <c r="B113" s="159" t="s">
        <v>481</v>
      </c>
      <c r="C113" s="159">
        <v>12</v>
      </c>
      <c r="D113" s="159" t="s">
        <v>640</v>
      </c>
      <c r="E113" s="159" t="s">
        <v>382</v>
      </c>
      <c r="F113" s="165">
        <v>7248216</v>
      </c>
      <c r="G113" s="165">
        <v>273116</v>
      </c>
      <c r="H113" s="164"/>
      <c r="I113" s="164">
        <f t="shared" si="8"/>
        <v>7248216</v>
      </c>
      <c r="J113" s="166">
        <v>7645400</v>
      </c>
      <c r="K113" s="166">
        <v>212316</v>
      </c>
      <c r="L113" s="166"/>
      <c r="M113" s="166">
        <f t="shared" si="9"/>
        <v>7645400</v>
      </c>
      <c r="N113" s="166">
        <f t="shared" si="10"/>
        <v>-397184</v>
      </c>
      <c r="O113" s="166">
        <f t="shared" si="10"/>
        <v>60800</v>
      </c>
      <c r="P113" s="166">
        <f t="shared" si="10"/>
        <v>0</v>
      </c>
      <c r="Q113" s="166">
        <f t="shared" si="10"/>
        <v>-397184</v>
      </c>
    </row>
    <row r="114" spans="1:17" s="161" customFormat="1" ht="20.100000000000001" customHeight="1">
      <c r="A114" s="152" t="s">
        <v>541</v>
      </c>
      <c r="B114" s="159" t="s">
        <v>482</v>
      </c>
      <c r="C114" s="159">
        <v>13</v>
      </c>
      <c r="D114" s="159" t="s">
        <v>640</v>
      </c>
      <c r="E114" s="159" t="s">
        <v>382</v>
      </c>
      <c r="F114" s="165">
        <v>7449072</v>
      </c>
      <c r="G114" s="165">
        <v>250124</v>
      </c>
      <c r="H114" s="164"/>
      <c r="I114" s="164">
        <f t="shared" si="8"/>
        <v>7449072</v>
      </c>
      <c r="J114" s="166">
        <v>7823200</v>
      </c>
      <c r="K114" s="166">
        <v>188084</v>
      </c>
      <c r="L114" s="166"/>
      <c r="M114" s="166">
        <f t="shared" si="9"/>
        <v>7823200</v>
      </c>
      <c r="N114" s="166">
        <f t="shared" si="10"/>
        <v>-374128</v>
      </c>
      <c r="O114" s="166">
        <f t="shared" si="10"/>
        <v>62040</v>
      </c>
      <c r="P114" s="166">
        <f t="shared" si="10"/>
        <v>0</v>
      </c>
      <c r="Q114" s="166">
        <f t="shared" si="10"/>
        <v>-374128</v>
      </c>
    </row>
    <row r="115" spans="1:17" s="161" customFormat="1" ht="20.100000000000001" customHeight="1">
      <c r="A115" s="152" t="s">
        <v>541</v>
      </c>
      <c r="B115" s="158" t="s">
        <v>483</v>
      </c>
      <c r="C115" s="159">
        <v>14</v>
      </c>
      <c r="D115" s="159" t="s">
        <v>640</v>
      </c>
      <c r="E115" s="159" t="s">
        <v>382</v>
      </c>
      <c r="F115" s="165">
        <v>5051642</v>
      </c>
      <c r="G115" s="165">
        <v>238364</v>
      </c>
      <c r="H115" s="164"/>
      <c r="I115" s="164">
        <f t="shared" si="8"/>
        <v>5051642</v>
      </c>
      <c r="J115" s="166">
        <v>5245100</v>
      </c>
      <c r="K115" s="166">
        <v>178364</v>
      </c>
      <c r="L115" s="166"/>
      <c r="M115" s="166">
        <f t="shared" si="9"/>
        <v>5245100</v>
      </c>
      <c r="N115" s="166">
        <f t="shared" si="10"/>
        <v>-193458</v>
      </c>
      <c r="O115" s="166">
        <f t="shared" si="10"/>
        <v>60000</v>
      </c>
      <c r="P115" s="166">
        <f t="shared" si="10"/>
        <v>0</v>
      </c>
      <c r="Q115" s="166">
        <f t="shared" si="10"/>
        <v>-193458</v>
      </c>
    </row>
    <row r="116" spans="1:17" s="161" customFormat="1" ht="20.100000000000001" customHeight="1">
      <c r="A116" s="152" t="s">
        <v>541</v>
      </c>
      <c r="B116" s="158" t="s">
        <v>484</v>
      </c>
      <c r="C116" s="159">
        <v>15</v>
      </c>
      <c r="D116" s="159" t="s">
        <v>640</v>
      </c>
      <c r="E116" s="159" t="s">
        <v>382</v>
      </c>
      <c r="F116" s="165">
        <v>1682914</v>
      </c>
      <c r="G116" s="165">
        <v>227816</v>
      </c>
      <c r="H116" s="164"/>
      <c r="I116" s="164">
        <f t="shared" si="8"/>
        <v>1682914</v>
      </c>
      <c r="J116" s="166">
        <v>1778000</v>
      </c>
      <c r="K116" s="166">
        <v>167336</v>
      </c>
      <c r="L116" s="166"/>
      <c r="M116" s="166">
        <f t="shared" si="9"/>
        <v>1778000</v>
      </c>
      <c r="N116" s="166">
        <f t="shared" si="10"/>
        <v>-95086</v>
      </c>
      <c r="O116" s="166">
        <f t="shared" si="10"/>
        <v>60480</v>
      </c>
      <c r="P116" s="166">
        <f t="shared" si="10"/>
        <v>0</v>
      </c>
      <c r="Q116" s="166">
        <f t="shared" si="10"/>
        <v>-95086</v>
      </c>
    </row>
    <row r="117" spans="1:17" s="161" customFormat="1" ht="20.100000000000001" customHeight="1">
      <c r="A117" s="152"/>
      <c r="B117" s="158" t="s">
        <v>660</v>
      </c>
      <c r="C117" s="159"/>
      <c r="D117" s="159"/>
      <c r="E117" s="159"/>
      <c r="F117" s="165">
        <f>SUM(F102:F116)</f>
        <v>194492917</v>
      </c>
      <c r="G117" s="165">
        <f t="shared" ref="G117:Q117" si="14">SUM(G102:G116)</f>
        <v>4750108</v>
      </c>
      <c r="H117" s="165">
        <f t="shared" si="14"/>
        <v>6084273</v>
      </c>
      <c r="I117" s="165">
        <f t="shared" si="14"/>
        <v>200577190</v>
      </c>
      <c r="J117" s="165">
        <f t="shared" si="14"/>
        <v>200632800</v>
      </c>
      <c r="K117" s="165">
        <f t="shared" si="14"/>
        <v>3701310</v>
      </c>
      <c r="L117" s="165">
        <f t="shared" si="14"/>
        <v>4279845.0299999993</v>
      </c>
      <c r="M117" s="165">
        <f t="shared" si="14"/>
        <v>204912645.02999997</v>
      </c>
      <c r="N117" s="165">
        <f t="shared" si="14"/>
        <v>-6139883.0000000037</v>
      </c>
      <c r="O117" s="165">
        <f t="shared" si="14"/>
        <v>1048798</v>
      </c>
      <c r="P117" s="165">
        <f t="shared" si="14"/>
        <v>1804427.97</v>
      </c>
      <c r="Q117" s="165">
        <f t="shared" si="14"/>
        <v>-4335455.0300000049</v>
      </c>
    </row>
    <row r="118" spans="1:17" s="161" customFormat="1" ht="20.100000000000001" customHeight="1">
      <c r="A118" s="152" t="s">
        <v>542</v>
      </c>
      <c r="B118" s="159" t="s">
        <v>372</v>
      </c>
      <c r="C118" s="159">
        <v>1</v>
      </c>
      <c r="D118" s="159" t="s">
        <v>639</v>
      </c>
      <c r="E118" s="159" t="s">
        <v>374</v>
      </c>
      <c r="F118" s="165">
        <v>14913265</v>
      </c>
      <c r="G118" s="165">
        <v>299292</v>
      </c>
      <c r="H118" s="164">
        <v>702909</v>
      </c>
      <c r="I118" s="164">
        <f t="shared" si="8"/>
        <v>15616174</v>
      </c>
      <c r="J118" s="166">
        <v>15244700</v>
      </c>
      <c r="K118" s="166">
        <v>239292</v>
      </c>
      <c r="L118" s="166">
        <v>269763.89</v>
      </c>
      <c r="M118" s="166">
        <f t="shared" si="9"/>
        <v>15514463.890000001</v>
      </c>
      <c r="N118" s="166">
        <f t="shared" si="10"/>
        <v>-331435</v>
      </c>
      <c r="O118" s="166">
        <f t="shared" si="10"/>
        <v>60000</v>
      </c>
      <c r="P118" s="166">
        <f t="shared" si="10"/>
        <v>433145.11</v>
      </c>
      <c r="Q118" s="166">
        <f t="shared" si="10"/>
        <v>101710.1099999994</v>
      </c>
    </row>
    <row r="119" spans="1:17" s="161" customFormat="1" ht="20.100000000000001" customHeight="1">
      <c r="A119" s="152" t="s">
        <v>542</v>
      </c>
      <c r="B119" s="159" t="s">
        <v>375</v>
      </c>
      <c r="C119" s="159">
        <v>2</v>
      </c>
      <c r="D119" s="159" t="s">
        <v>639</v>
      </c>
      <c r="E119" s="159" t="s">
        <v>374</v>
      </c>
      <c r="F119" s="165">
        <v>11394922</v>
      </c>
      <c r="G119" s="165">
        <v>255492</v>
      </c>
      <c r="H119" s="164">
        <v>644591</v>
      </c>
      <c r="I119" s="164">
        <f t="shared" si="8"/>
        <v>12039513</v>
      </c>
      <c r="J119" s="166">
        <v>11749100</v>
      </c>
      <c r="K119" s="166">
        <v>195492</v>
      </c>
      <c r="L119" s="166">
        <v>229299.31</v>
      </c>
      <c r="M119" s="166">
        <f t="shared" si="9"/>
        <v>11978399.310000001</v>
      </c>
      <c r="N119" s="166">
        <f t="shared" si="10"/>
        <v>-354178</v>
      </c>
      <c r="O119" s="166">
        <f t="shared" si="10"/>
        <v>60000</v>
      </c>
      <c r="P119" s="166">
        <f t="shared" si="10"/>
        <v>415291.69</v>
      </c>
      <c r="Q119" s="166">
        <f t="shared" si="10"/>
        <v>61113.689999999478</v>
      </c>
    </row>
    <row r="120" spans="1:17" s="161" customFormat="1" ht="20.100000000000001" customHeight="1">
      <c r="A120" s="152" t="s">
        <v>542</v>
      </c>
      <c r="B120" s="159" t="s">
        <v>376</v>
      </c>
      <c r="C120" s="159">
        <v>3</v>
      </c>
      <c r="D120" s="159" t="s">
        <v>639</v>
      </c>
      <c r="E120" s="159" t="s">
        <v>377</v>
      </c>
      <c r="F120" s="165">
        <v>21582168</v>
      </c>
      <c r="G120" s="165">
        <v>612248</v>
      </c>
      <c r="H120" s="164">
        <v>836865</v>
      </c>
      <c r="I120" s="164">
        <f t="shared" si="8"/>
        <v>22419033</v>
      </c>
      <c r="J120" s="166">
        <v>21944600</v>
      </c>
      <c r="K120" s="166">
        <v>492248</v>
      </c>
      <c r="L120" s="166">
        <v>509281.53</v>
      </c>
      <c r="M120" s="166">
        <f t="shared" si="9"/>
        <v>22453881.530000001</v>
      </c>
      <c r="N120" s="166">
        <f t="shared" si="10"/>
        <v>-362432</v>
      </c>
      <c r="O120" s="166">
        <f t="shared" si="10"/>
        <v>120000</v>
      </c>
      <c r="P120" s="166">
        <f t="shared" si="10"/>
        <v>327583.46999999997</v>
      </c>
      <c r="Q120" s="166">
        <f t="shared" si="10"/>
        <v>-34848.530000001192</v>
      </c>
    </row>
    <row r="121" spans="1:17" s="161" customFormat="1" ht="20.100000000000001" customHeight="1">
      <c r="A121" s="152" t="s">
        <v>542</v>
      </c>
      <c r="B121" s="159" t="s">
        <v>378</v>
      </c>
      <c r="C121" s="159">
        <v>4</v>
      </c>
      <c r="D121" s="159" t="s">
        <v>639</v>
      </c>
      <c r="E121" s="159" t="s">
        <v>379</v>
      </c>
      <c r="F121" s="165">
        <v>16046784</v>
      </c>
      <c r="G121" s="165">
        <v>567756</v>
      </c>
      <c r="H121" s="164">
        <v>388492.5</v>
      </c>
      <c r="I121" s="164">
        <f t="shared" si="8"/>
        <v>16435276.5</v>
      </c>
      <c r="J121" s="166">
        <v>16604100</v>
      </c>
      <c r="K121" s="166">
        <v>447756</v>
      </c>
      <c r="L121" s="166">
        <v>467182.02</v>
      </c>
      <c r="M121" s="166">
        <f t="shared" si="9"/>
        <v>17071282.02</v>
      </c>
      <c r="N121" s="166">
        <f t="shared" si="10"/>
        <v>-557316</v>
      </c>
      <c r="O121" s="166">
        <f t="shared" si="10"/>
        <v>120000</v>
      </c>
      <c r="P121" s="166">
        <f t="shared" si="10"/>
        <v>-78689.520000000019</v>
      </c>
      <c r="Q121" s="166">
        <f t="shared" si="10"/>
        <v>-636005.51999999955</v>
      </c>
    </row>
    <row r="122" spans="1:17" s="161" customFormat="1" ht="20.100000000000001" customHeight="1">
      <c r="A122" s="152" t="s">
        <v>542</v>
      </c>
      <c r="B122" s="159" t="s">
        <v>380</v>
      </c>
      <c r="C122" s="159">
        <v>5</v>
      </c>
      <c r="D122" s="159" t="s">
        <v>639</v>
      </c>
      <c r="E122" s="159" t="s">
        <v>379</v>
      </c>
      <c r="F122" s="165">
        <v>12709848</v>
      </c>
      <c r="G122" s="165">
        <v>197610</v>
      </c>
      <c r="H122" s="164">
        <v>376580</v>
      </c>
      <c r="I122" s="164">
        <f t="shared" si="8"/>
        <v>13086428</v>
      </c>
      <c r="J122" s="166">
        <v>13496900</v>
      </c>
      <c r="K122" s="166">
        <v>147710</v>
      </c>
      <c r="L122" s="166">
        <v>423038.83</v>
      </c>
      <c r="M122" s="166">
        <f t="shared" si="9"/>
        <v>13919938.83</v>
      </c>
      <c r="N122" s="166">
        <f t="shared" si="10"/>
        <v>-787052</v>
      </c>
      <c r="O122" s="166">
        <f t="shared" si="10"/>
        <v>49900</v>
      </c>
      <c r="P122" s="166">
        <f t="shared" si="10"/>
        <v>-46458.830000000016</v>
      </c>
      <c r="Q122" s="166">
        <f t="shared" si="10"/>
        <v>-833510.83000000007</v>
      </c>
    </row>
    <row r="123" spans="1:17" s="161" customFormat="1" ht="20.100000000000001" customHeight="1">
      <c r="A123" s="152" t="s">
        <v>542</v>
      </c>
      <c r="B123" s="159" t="s">
        <v>386</v>
      </c>
      <c r="C123" s="159">
        <v>6</v>
      </c>
      <c r="D123" s="159" t="s">
        <v>640</v>
      </c>
      <c r="E123" s="159" t="s">
        <v>641</v>
      </c>
      <c r="F123" s="165">
        <v>191250</v>
      </c>
      <c r="G123" s="165">
        <v>0</v>
      </c>
      <c r="H123" s="164"/>
      <c r="I123" s="164">
        <f t="shared" si="8"/>
        <v>191250</v>
      </c>
      <c r="J123" s="166">
        <v>183200</v>
      </c>
      <c r="K123" s="166"/>
      <c r="L123" s="166"/>
      <c r="M123" s="166">
        <f t="shared" si="9"/>
        <v>183200</v>
      </c>
      <c r="N123" s="166">
        <f t="shared" si="10"/>
        <v>8050</v>
      </c>
      <c r="O123" s="166">
        <f t="shared" si="10"/>
        <v>0</v>
      </c>
      <c r="P123" s="166">
        <f t="shared" si="10"/>
        <v>0</v>
      </c>
      <c r="Q123" s="166">
        <f t="shared" si="10"/>
        <v>8050</v>
      </c>
    </row>
    <row r="124" spans="1:17" s="161" customFormat="1" ht="20.100000000000001" customHeight="1">
      <c r="A124" s="152" t="s">
        <v>542</v>
      </c>
      <c r="B124" s="159" t="s">
        <v>381</v>
      </c>
      <c r="C124" s="159">
        <v>7</v>
      </c>
      <c r="D124" s="159" t="s">
        <v>640</v>
      </c>
      <c r="E124" s="159" t="s">
        <v>382</v>
      </c>
      <c r="F124" s="165">
        <v>9083965</v>
      </c>
      <c r="G124" s="165">
        <v>248765</v>
      </c>
      <c r="H124" s="164"/>
      <c r="I124" s="164">
        <f t="shared" si="8"/>
        <v>9083965</v>
      </c>
      <c r="J124" s="166">
        <v>9601200</v>
      </c>
      <c r="K124" s="166">
        <v>188765</v>
      </c>
      <c r="L124" s="166"/>
      <c r="M124" s="166">
        <f t="shared" si="9"/>
        <v>9601200</v>
      </c>
      <c r="N124" s="166">
        <f t="shared" si="10"/>
        <v>-517235</v>
      </c>
      <c r="O124" s="166">
        <f t="shared" si="10"/>
        <v>60000</v>
      </c>
      <c r="P124" s="166">
        <f t="shared" si="10"/>
        <v>0</v>
      </c>
      <c r="Q124" s="166">
        <f t="shared" si="10"/>
        <v>-517235</v>
      </c>
    </row>
    <row r="125" spans="1:17" s="161" customFormat="1" ht="20.100000000000001" customHeight="1">
      <c r="A125" s="152" t="s">
        <v>542</v>
      </c>
      <c r="B125" s="159" t="s">
        <v>383</v>
      </c>
      <c r="C125" s="159">
        <v>8</v>
      </c>
      <c r="D125" s="159" t="s">
        <v>640</v>
      </c>
      <c r="E125" s="159" t="s">
        <v>649</v>
      </c>
      <c r="F125" s="165">
        <v>8638492</v>
      </c>
      <c r="G125" s="165">
        <v>251372</v>
      </c>
      <c r="H125" s="164"/>
      <c r="I125" s="164">
        <f t="shared" si="8"/>
        <v>8638492</v>
      </c>
      <c r="J125" s="166">
        <v>8801100</v>
      </c>
      <c r="K125" s="166">
        <v>191372</v>
      </c>
      <c r="L125" s="166"/>
      <c r="M125" s="166">
        <f t="shared" si="9"/>
        <v>8801100</v>
      </c>
      <c r="N125" s="166">
        <f t="shared" si="10"/>
        <v>-162608</v>
      </c>
      <c r="O125" s="166">
        <f t="shared" si="10"/>
        <v>60000</v>
      </c>
      <c r="P125" s="166">
        <f t="shared" si="10"/>
        <v>0</v>
      </c>
      <c r="Q125" s="166">
        <f t="shared" si="10"/>
        <v>-162608</v>
      </c>
    </row>
    <row r="126" spans="1:17" s="161" customFormat="1" ht="20.100000000000001" customHeight="1">
      <c r="A126" s="152" t="s">
        <v>542</v>
      </c>
      <c r="B126" s="159" t="s">
        <v>384</v>
      </c>
      <c r="C126" s="159">
        <v>9</v>
      </c>
      <c r="D126" s="159" t="s">
        <v>640</v>
      </c>
      <c r="E126" s="159" t="s">
        <v>382</v>
      </c>
      <c r="F126" s="165">
        <v>6194299</v>
      </c>
      <c r="G126" s="165">
        <v>259976</v>
      </c>
      <c r="H126" s="164"/>
      <c r="I126" s="164">
        <f t="shared" si="8"/>
        <v>6194299</v>
      </c>
      <c r="J126" s="166">
        <v>6667500</v>
      </c>
      <c r="K126" s="166">
        <v>199976</v>
      </c>
      <c r="L126" s="166"/>
      <c r="M126" s="166">
        <f t="shared" si="9"/>
        <v>6667500</v>
      </c>
      <c r="N126" s="166">
        <f t="shared" si="10"/>
        <v>-473201</v>
      </c>
      <c r="O126" s="166">
        <f t="shared" si="10"/>
        <v>60000</v>
      </c>
      <c r="P126" s="166">
        <f t="shared" si="10"/>
        <v>0</v>
      </c>
      <c r="Q126" s="166">
        <f t="shared" si="10"/>
        <v>-473201</v>
      </c>
    </row>
    <row r="127" spans="1:17" s="161" customFormat="1" ht="20.100000000000001" customHeight="1">
      <c r="A127" s="152" t="s">
        <v>542</v>
      </c>
      <c r="B127" s="159" t="s">
        <v>385</v>
      </c>
      <c r="C127" s="159">
        <v>10</v>
      </c>
      <c r="D127" s="159" t="s">
        <v>640</v>
      </c>
      <c r="E127" s="159" t="s">
        <v>382</v>
      </c>
      <c r="F127" s="165">
        <v>7824204</v>
      </c>
      <c r="G127" s="165">
        <v>257576</v>
      </c>
      <c r="H127" s="164"/>
      <c r="I127" s="164">
        <f t="shared" si="8"/>
        <v>7824204</v>
      </c>
      <c r="J127" s="166">
        <v>8178800</v>
      </c>
      <c r="K127" s="166">
        <v>197576</v>
      </c>
      <c r="L127" s="166"/>
      <c r="M127" s="166">
        <f t="shared" si="9"/>
        <v>8178800</v>
      </c>
      <c r="N127" s="166">
        <f t="shared" si="10"/>
        <v>-354596</v>
      </c>
      <c r="O127" s="166">
        <f t="shared" si="10"/>
        <v>60000</v>
      </c>
      <c r="P127" s="166">
        <f t="shared" si="10"/>
        <v>0</v>
      </c>
      <c r="Q127" s="166">
        <f t="shared" si="10"/>
        <v>-354596</v>
      </c>
    </row>
    <row r="128" spans="1:17" s="156" customFormat="1" ht="20.100000000000001" customHeight="1">
      <c r="A128" s="160"/>
      <c r="B128" s="163" t="s">
        <v>661</v>
      </c>
      <c r="C128" s="160"/>
      <c r="D128" s="160"/>
      <c r="E128" s="160"/>
      <c r="F128" s="167">
        <f>SUM(F118:F127)</f>
        <v>108579197</v>
      </c>
      <c r="G128" s="164">
        <f t="shared" ref="G128:Q128" si="15">SUM(G118:G127)</f>
        <v>2950087</v>
      </c>
      <c r="H128" s="164">
        <f t="shared" si="15"/>
        <v>2949437.5</v>
      </c>
      <c r="I128" s="164">
        <f t="shared" si="15"/>
        <v>111528634.5</v>
      </c>
      <c r="J128" s="164">
        <f t="shared" si="15"/>
        <v>112471200</v>
      </c>
      <c r="K128" s="164">
        <f t="shared" si="15"/>
        <v>2300187</v>
      </c>
      <c r="L128" s="164">
        <f t="shared" si="15"/>
        <v>1898565.58</v>
      </c>
      <c r="M128" s="164">
        <f t="shared" si="15"/>
        <v>114369765.58</v>
      </c>
      <c r="N128" s="164">
        <f t="shared" si="15"/>
        <v>-3892003</v>
      </c>
      <c r="O128" s="164">
        <f t="shared" si="15"/>
        <v>649900</v>
      </c>
      <c r="P128" s="164">
        <f t="shared" si="15"/>
        <v>1050871.92</v>
      </c>
      <c r="Q128" s="164">
        <f t="shared" si="15"/>
        <v>-2841131.0800000019</v>
      </c>
    </row>
    <row r="129" spans="1:17" s="161" customFormat="1" ht="20.100000000000001" customHeight="1">
      <c r="A129" s="152"/>
      <c r="B129" s="163" t="s">
        <v>662</v>
      </c>
      <c r="C129" s="152"/>
      <c r="D129" s="152"/>
      <c r="E129" s="152"/>
      <c r="F129" s="164">
        <f>SUM(F128,F117,F101,F92,F79,F59,F38,F17,F9)</f>
        <v>1293628698</v>
      </c>
      <c r="G129" s="164">
        <f t="shared" ref="G129:Q129" si="16">SUM(G128,G117,G101,G92,G79,G59,G38,G17,G9)</f>
        <v>31524738</v>
      </c>
      <c r="H129" s="164">
        <f t="shared" si="16"/>
        <v>37888743</v>
      </c>
      <c r="I129" s="164">
        <f t="shared" si="16"/>
        <v>1331517441</v>
      </c>
      <c r="J129" s="164">
        <f t="shared" si="16"/>
        <v>1332111400</v>
      </c>
      <c r="K129" s="164">
        <f t="shared" si="16"/>
        <v>24567752</v>
      </c>
      <c r="L129" s="164">
        <f t="shared" si="16"/>
        <v>26835376.409999996</v>
      </c>
      <c r="M129" s="164">
        <f t="shared" si="16"/>
        <v>1358946776.4099998</v>
      </c>
      <c r="N129" s="164">
        <f t="shared" si="16"/>
        <v>-38482702</v>
      </c>
      <c r="O129" s="164">
        <f t="shared" si="16"/>
        <v>6956986</v>
      </c>
      <c r="P129" s="164">
        <f t="shared" si="16"/>
        <v>11053366.59</v>
      </c>
      <c r="Q129" s="164">
        <f t="shared" si="16"/>
        <v>-27429335.410000008</v>
      </c>
    </row>
    <row r="130" spans="1:17">
      <c r="M130" s="168"/>
    </row>
  </sheetData>
  <mergeCells count="9">
    <mergeCell ref="J2:M2"/>
    <mergeCell ref="N2:Q2"/>
    <mergeCell ref="A1:Q1"/>
    <mergeCell ref="A2:A3"/>
    <mergeCell ref="B2:B3"/>
    <mergeCell ref="C2:C3"/>
    <mergeCell ref="D2:D3"/>
    <mergeCell ref="E2:E3"/>
    <mergeCell ref="F2:I2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8" orientation="landscape" r:id="rId1"/>
  <headerFooter>
    <oddFooter>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7"/>
  <sheetViews>
    <sheetView workbookViewId="0">
      <pane xSplit="4" ySplit="2" topLeftCell="E44" activePane="bottomRight" state="frozen"/>
      <selection pane="topRight" activeCell="E1" sqref="E1"/>
      <selection pane="bottomLeft" activeCell="A3" sqref="A3"/>
      <selection pane="bottomRight" activeCell="J3" sqref="J3:J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11" ht="25.5">
      <c r="A1" s="343" t="s">
        <v>0</v>
      </c>
      <c r="B1" s="344"/>
      <c r="C1" s="344"/>
      <c r="D1" s="344"/>
      <c r="E1" s="344"/>
      <c r="F1" s="344"/>
      <c r="G1" s="344"/>
      <c r="H1" s="344"/>
      <c r="I1" s="344"/>
      <c r="J1" s="344"/>
      <c r="K1" s="344"/>
    </row>
    <row r="2" spans="1:11" ht="30" customHeight="1">
      <c r="A2" s="2" t="s">
        <v>1</v>
      </c>
      <c r="B2" s="2" t="s">
        <v>2</v>
      </c>
      <c r="C2" s="2" t="s">
        <v>3</v>
      </c>
      <c r="D2" s="3" t="s">
        <v>4</v>
      </c>
      <c r="E2" s="40" t="s">
        <v>544</v>
      </c>
      <c r="F2" s="3" t="s">
        <v>324</v>
      </c>
      <c r="G2" s="3" t="s">
        <v>325</v>
      </c>
      <c r="H2" s="3" t="s">
        <v>326</v>
      </c>
      <c r="I2" s="3" t="s">
        <v>327</v>
      </c>
      <c r="J2" s="3" t="s">
        <v>24</v>
      </c>
      <c r="K2" s="4" t="s">
        <v>25</v>
      </c>
    </row>
    <row r="3" spans="1:11">
      <c r="A3" s="5" t="s">
        <v>26</v>
      </c>
      <c r="B3" s="6" t="s">
        <v>27</v>
      </c>
      <c r="C3" s="6"/>
      <c r="D3" s="7" t="s">
        <v>28</v>
      </c>
      <c r="E3" s="8">
        <f>E4+E30+E49</f>
        <v>2519467.8799999994</v>
      </c>
      <c r="F3" s="8">
        <f>F4+F30+F49</f>
        <v>25328634.009999998</v>
      </c>
      <c r="G3" s="8">
        <f>G4+G30+G49</f>
        <v>17099685.57</v>
      </c>
      <c r="H3" s="8">
        <f>H4+H30+H49</f>
        <v>50534472.079999998</v>
      </c>
      <c r="I3" s="8">
        <f>I4+I30+I49</f>
        <v>9945212.2100000009</v>
      </c>
      <c r="J3" s="8">
        <f t="shared" ref="J3:J9" si="0">SUM(E3:I3)</f>
        <v>105427471.75</v>
      </c>
      <c r="K3" s="9"/>
    </row>
    <row r="4" spans="1:11">
      <c r="A4" s="5" t="s">
        <v>29</v>
      </c>
      <c r="B4" s="6" t="s">
        <v>30</v>
      </c>
      <c r="C4" s="6"/>
      <c r="D4" s="7" t="s">
        <v>28</v>
      </c>
      <c r="E4" s="8">
        <f>E5+E8+E12+E15+E18+E20+E23+E25+E27+E28+E29</f>
        <v>2208993.0199999996</v>
      </c>
      <c r="F4" s="8">
        <f>F5+F8+F12+F15+F18+F20+F23+F25+F27+F28+F29</f>
        <v>22211031.68</v>
      </c>
      <c r="G4" s="8">
        <f>G5+G8+G12+G15+G18+G20+G23+G25+G27+G28+G29</f>
        <v>15043822.43</v>
      </c>
      <c r="H4" s="8">
        <f>H5+H8+H12+H15+H18+H20+H23+H25+H27+H28+H29</f>
        <v>43784597.490000002</v>
      </c>
      <c r="I4" s="8">
        <f>I5+I8+I12+I15+I18+I20+I23+I25+I27+I28+I29</f>
        <v>8654529.4700000007</v>
      </c>
      <c r="J4" s="8">
        <f t="shared" si="0"/>
        <v>91902974.090000004</v>
      </c>
      <c r="K4" s="9"/>
    </row>
    <row r="5" spans="1:11">
      <c r="A5" s="5" t="s">
        <v>31</v>
      </c>
      <c r="B5" s="6" t="s">
        <v>32</v>
      </c>
      <c r="C5" s="6"/>
      <c r="D5" s="7" t="s">
        <v>28</v>
      </c>
      <c r="E5" s="8">
        <f>E6+E7</f>
        <v>336900</v>
      </c>
      <c r="F5" s="8">
        <f>F6+F7</f>
        <v>3110462.8600000003</v>
      </c>
      <c r="G5" s="8">
        <f>G6+G7</f>
        <v>1879487</v>
      </c>
      <c r="H5" s="8">
        <f>H6+H7</f>
        <v>6555555</v>
      </c>
      <c r="I5" s="8">
        <f>I6+I7</f>
        <v>1100611</v>
      </c>
      <c r="J5" s="8">
        <f t="shared" si="0"/>
        <v>12983015.859999999</v>
      </c>
      <c r="K5" s="9"/>
    </row>
    <row r="6" spans="1:11">
      <c r="A6" s="5" t="s">
        <v>33</v>
      </c>
      <c r="B6" s="6" t="s">
        <v>34</v>
      </c>
      <c r="C6" s="6" t="s">
        <v>35</v>
      </c>
      <c r="D6" s="7" t="s">
        <v>36</v>
      </c>
      <c r="E6" s="10">
        <v>161700</v>
      </c>
      <c r="F6" s="10">
        <v>1854269.86</v>
      </c>
      <c r="G6" s="10">
        <v>1191949</v>
      </c>
      <c r="H6" s="10">
        <v>3336422</v>
      </c>
      <c r="I6" s="10">
        <v>739847</v>
      </c>
      <c r="J6" s="8">
        <f t="shared" si="0"/>
        <v>7284187.8600000003</v>
      </c>
      <c r="K6" s="11"/>
    </row>
    <row r="7" spans="1:11">
      <c r="A7" s="5" t="s">
        <v>37</v>
      </c>
      <c r="B7" s="6" t="s">
        <v>38</v>
      </c>
      <c r="C7" s="6" t="s">
        <v>35</v>
      </c>
      <c r="D7" s="7" t="s">
        <v>36</v>
      </c>
      <c r="E7" s="10">
        <v>175200</v>
      </c>
      <c r="F7" s="10">
        <v>1256193</v>
      </c>
      <c r="G7" s="10">
        <v>687538</v>
      </c>
      <c r="H7" s="10">
        <v>3219133</v>
      </c>
      <c r="I7" s="10">
        <v>360764</v>
      </c>
      <c r="J7" s="8">
        <f t="shared" si="0"/>
        <v>5698828</v>
      </c>
      <c r="K7" s="9"/>
    </row>
    <row r="8" spans="1:11">
      <c r="A8" s="5" t="s">
        <v>39</v>
      </c>
      <c r="B8" s="6" t="s">
        <v>40</v>
      </c>
      <c r="C8" s="6"/>
      <c r="D8" s="7" t="s">
        <v>28</v>
      </c>
      <c r="E8" s="8">
        <f>E9+E10</f>
        <v>32335</v>
      </c>
      <c r="F8" s="8">
        <f>F9+F10</f>
        <v>369320</v>
      </c>
      <c r="G8" s="8">
        <f>G9+G10</f>
        <v>250890</v>
      </c>
      <c r="H8" s="8">
        <f>H9+H10</f>
        <v>661378</v>
      </c>
      <c r="I8" s="8">
        <f>I9+I10</f>
        <v>149230</v>
      </c>
      <c r="J8" s="8">
        <f t="shared" si="0"/>
        <v>1463153</v>
      </c>
      <c r="K8" s="9"/>
    </row>
    <row r="9" spans="1:11">
      <c r="A9" s="5" t="s">
        <v>41</v>
      </c>
      <c r="B9" s="6" t="s">
        <v>42</v>
      </c>
      <c r="C9" s="6" t="s">
        <v>35</v>
      </c>
      <c r="D9" s="7" t="s">
        <v>36</v>
      </c>
      <c r="E9" s="10">
        <v>655</v>
      </c>
      <c r="F9" s="10">
        <v>5000</v>
      </c>
      <c r="G9" s="10">
        <v>2730</v>
      </c>
      <c r="H9" s="10">
        <v>22498</v>
      </c>
      <c r="I9" s="10">
        <v>1390</v>
      </c>
      <c r="J9" s="8">
        <f t="shared" si="0"/>
        <v>32273</v>
      </c>
      <c r="K9" s="9"/>
    </row>
    <row r="10" spans="1:11">
      <c r="A10" s="5" t="s">
        <v>43</v>
      </c>
      <c r="B10" s="6" t="s">
        <v>44</v>
      </c>
      <c r="C10" s="6"/>
      <c r="D10" s="7" t="s">
        <v>28</v>
      </c>
      <c r="E10" s="8">
        <f t="shared" ref="E10:J10" si="1">E11</f>
        <v>31680</v>
      </c>
      <c r="F10" s="8">
        <f t="shared" si="1"/>
        <v>364320</v>
      </c>
      <c r="G10" s="8">
        <f t="shared" si="1"/>
        <v>248160</v>
      </c>
      <c r="H10" s="8">
        <f t="shared" si="1"/>
        <v>638880</v>
      </c>
      <c r="I10" s="8">
        <f t="shared" si="1"/>
        <v>147840</v>
      </c>
      <c r="J10" s="8">
        <f t="shared" si="1"/>
        <v>1430880</v>
      </c>
      <c r="K10" s="9"/>
    </row>
    <row r="11" spans="1:11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19">
        <f>440*12*E93</f>
        <v>31680</v>
      </c>
      <c r="F11" s="8">
        <f>440*12*F93</f>
        <v>364320</v>
      </c>
      <c r="G11" s="8">
        <f>440*12*G93</f>
        <v>248160</v>
      </c>
      <c r="H11" s="8">
        <f>440*12*H93</f>
        <v>638880</v>
      </c>
      <c r="I11" s="8">
        <f>440*12*I93</f>
        <v>147840</v>
      </c>
      <c r="J11" s="8">
        <f t="shared" ref="J11:J26" si="2">SUM(E11:I11)</f>
        <v>1430880</v>
      </c>
      <c r="K11" s="9"/>
    </row>
    <row r="12" spans="1:11">
      <c r="A12" s="5" t="s">
        <v>47</v>
      </c>
      <c r="B12" s="6" t="s">
        <v>48</v>
      </c>
      <c r="C12" s="6"/>
      <c r="D12" s="7" t="s">
        <v>49</v>
      </c>
      <c r="E12" s="8">
        <f>E13+E14</f>
        <v>11270.01</v>
      </c>
      <c r="F12" s="8">
        <f t="shared" ref="F12:I12" si="3">F13+F14</f>
        <v>102473.32</v>
      </c>
      <c r="G12" s="8">
        <f t="shared" si="3"/>
        <v>72325.440000000002</v>
      </c>
      <c r="H12" s="8">
        <f t="shared" si="3"/>
        <v>207474.48</v>
      </c>
      <c r="I12" s="8">
        <f t="shared" si="3"/>
        <v>38373.480000000003</v>
      </c>
      <c r="J12" s="8">
        <f t="shared" si="2"/>
        <v>431916.73</v>
      </c>
      <c r="K12" s="9"/>
    </row>
    <row r="13" spans="1:11" s="13" customFormat="1">
      <c r="A13" s="5" t="s">
        <v>50</v>
      </c>
      <c r="B13" s="49" t="s">
        <v>584</v>
      </c>
      <c r="C13" s="12" t="s">
        <v>35</v>
      </c>
      <c r="D13" s="9" t="s">
        <v>51</v>
      </c>
      <c r="E13" s="8">
        <f>ROUND(E28/0.07*0.00256,2)</f>
        <v>3816.3</v>
      </c>
      <c r="F13" s="8">
        <f>ROUND(F28/0.07*0.00256,2)</f>
        <v>34699.96</v>
      </c>
      <c r="G13" s="8">
        <f>ROUND(G28/0.07*0.00256,2)</f>
        <v>24491.15</v>
      </c>
      <c r="H13" s="8">
        <f>ROUND(H28/0.07*0.00256,2)</f>
        <v>70255.91</v>
      </c>
      <c r="I13" s="8">
        <f>ROUND(I28/0.07*0.00256,2)</f>
        <v>12994.19</v>
      </c>
      <c r="J13" s="8">
        <f t="shared" si="2"/>
        <v>146257.51</v>
      </c>
      <c r="K13" s="9"/>
    </row>
    <row r="14" spans="1:11" s="13" customFormat="1">
      <c r="A14" s="5" t="s">
        <v>52</v>
      </c>
      <c r="B14" s="49" t="s">
        <v>585</v>
      </c>
      <c r="C14" s="12" t="s">
        <v>35</v>
      </c>
      <c r="D14" s="9" t="s">
        <v>51</v>
      </c>
      <c r="E14" s="8">
        <f>ROUND(E28/0.07*0.005,2)</f>
        <v>7453.71</v>
      </c>
      <c r="F14" s="8">
        <f>ROUND(F28/0.07*0.005,2)</f>
        <v>67773.36</v>
      </c>
      <c r="G14" s="8">
        <f>ROUND(G28/0.07*0.005,2)</f>
        <v>47834.29</v>
      </c>
      <c r="H14" s="8">
        <f>ROUND(H28/0.07*0.005,2)</f>
        <v>137218.57</v>
      </c>
      <c r="I14" s="8">
        <f>ROUND(I28/0.07*0.005,2)</f>
        <v>25379.29</v>
      </c>
      <c r="J14" s="8">
        <f t="shared" si="2"/>
        <v>285659.22000000003</v>
      </c>
      <c r="K14" s="9"/>
    </row>
    <row r="15" spans="1:11">
      <c r="A15" s="5" t="s">
        <v>53</v>
      </c>
      <c r="B15" s="6" t="s">
        <v>55</v>
      </c>
      <c r="C15" s="6"/>
      <c r="D15" s="7" t="s">
        <v>28</v>
      </c>
      <c r="E15" s="8">
        <v>1114200</v>
      </c>
      <c r="F15" s="8">
        <v>12047400</v>
      </c>
      <c r="G15" s="8">
        <v>8206200</v>
      </c>
      <c r="H15" s="8">
        <v>23147300</v>
      </c>
      <c r="I15" s="8">
        <v>4888800</v>
      </c>
      <c r="J15" s="8">
        <f t="shared" si="2"/>
        <v>49403900</v>
      </c>
      <c r="K15" s="9"/>
    </row>
    <row r="16" spans="1:11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1114200</v>
      </c>
      <c r="F16" s="16">
        <f t="shared" ref="F16:I16" si="4">F15-F17</f>
        <v>11641852</v>
      </c>
      <c r="G16" s="16">
        <f t="shared" si="4"/>
        <v>7999856</v>
      </c>
      <c r="H16" s="16">
        <f t="shared" si="4"/>
        <v>22634356</v>
      </c>
      <c r="I16" s="16">
        <f t="shared" si="4"/>
        <v>4888800</v>
      </c>
      <c r="J16" s="8">
        <f t="shared" si="2"/>
        <v>48279064</v>
      </c>
      <c r="K16" s="15"/>
    </row>
    <row r="17" spans="1:11">
      <c r="A17" s="5" t="s">
        <v>56</v>
      </c>
      <c r="B17" s="14" t="s">
        <v>60</v>
      </c>
      <c r="C17" s="14" t="s">
        <v>35</v>
      </c>
      <c r="D17" s="15" t="s">
        <v>61</v>
      </c>
      <c r="E17" s="16"/>
      <c r="F17" s="16">
        <v>405548</v>
      </c>
      <c r="G17" s="16">
        <v>206344</v>
      </c>
      <c r="H17" s="16">
        <v>512944</v>
      </c>
      <c r="I17" s="16"/>
      <c r="J17" s="8">
        <f t="shared" si="2"/>
        <v>1124836</v>
      </c>
      <c r="K17" s="15"/>
    </row>
    <row r="18" spans="1:11">
      <c r="A18" s="5" t="s">
        <v>59</v>
      </c>
      <c r="B18" s="6" t="s">
        <v>63</v>
      </c>
      <c r="C18" s="6"/>
      <c r="D18" s="15" t="s">
        <v>28</v>
      </c>
      <c r="E18" s="17">
        <f>E19</f>
        <v>156528</v>
      </c>
      <c r="F18" s="17">
        <f>F19</f>
        <v>1423240.5</v>
      </c>
      <c r="G18" s="17">
        <f>G19</f>
        <v>1004520</v>
      </c>
      <c r="H18" s="17">
        <f>H19</f>
        <v>2881590</v>
      </c>
      <c r="I18" s="17">
        <f>I19</f>
        <v>532965</v>
      </c>
      <c r="J18" s="8">
        <f t="shared" si="2"/>
        <v>5998843.5</v>
      </c>
      <c r="K18" s="15"/>
    </row>
    <row r="19" spans="1:11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156528</v>
      </c>
      <c r="F19" s="17">
        <f>ROUND(F28/0.07*0.105,2)</f>
        <v>1423240.5</v>
      </c>
      <c r="G19" s="17">
        <f>ROUND(G28/0.07*0.105,2)</f>
        <v>1004520</v>
      </c>
      <c r="H19" s="17">
        <f>ROUND(H28/0.07*0.105,2)</f>
        <v>2881590</v>
      </c>
      <c r="I19" s="17">
        <f>ROUND(I28/0.07*0.105,2)</f>
        <v>532965</v>
      </c>
      <c r="J19" s="8">
        <f t="shared" si="2"/>
        <v>5998843.5</v>
      </c>
      <c r="K19" s="15"/>
    </row>
    <row r="20" spans="1:11">
      <c r="A20" s="5" t="s">
        <v>64</v>
      </c>
      <c r="B20" s="6" t="s">
        <v>68</v>
      </c>
      <c r="C20" s="6"/>
      <c r="D20" s="15" t="s">
        <v>51</v>
      </c>
      <c r="E20" s="17">
        <f>E21+E22</f>
        <v>59629.72</v>
      </c>
      <c r="F20" s="17">
        <f>F21+F22</f>
        <v>542186.86</v>
      </c>
      <c r="G20" s="17">
        <f>G21+G22</f>
        <v>382674.28</v>
      </c>
      <c r="H20" s="17">
        <f>H21+H22</f>
        <v>1097748.58</v>
      </c>
      <c r="I20" s="17">
        <f>I21+I22</f>
        <v>203034.28</v>
      </c>
      <c r="J20" s="8">
        <f t="shared" si="2"/>
        <v>2285273.7199999997</v>
      </c>
      <c r="K20" s="15"/>
    </row>
    <row r="21" spans="1:11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29814.86</v>
      </c>
      <c r="F21" s="17">
        <f>ROUND(F28/0.07*0.02,2)</f>
        <v>271093.43</v>
      </c>
      <c r="G21" s="17">
        <f>ROUND(G28/0.07*0.02,2)</f>
        <v>191337.14</v>
      </c>
      <c r="H21" s="17">
        <f>ROUND(H28/0.07*0.02,2)</f>
        <v>548874.29</v>
      </c>
      <c r="I21" s="17">
        <f>ROUND(I28/0.07*0.02,2)</f>
        <v>101517.14</v>
      </c>
      <c r="J21" s="8">
        <f t="shared" si="2"/>
        <v>1142636.8599999999</v>
      </c>
      <c r="K21" s="15"/>
    </row>
    <row r="22" spans="1:11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29814.86</v>
      </c>
      <c r="F22" s="17">
        <f>ROUND(F28/0.07*0.02,2)</f>
        <v>271093.43</v>
      </c>
      <c r="G22" s="17">
        <f>ROUND(G28/0.07*0.02,2)</f>
        <v>191337.14</v>
      </c>
      <c r="H22" s="17">
        <f>ROUND(H28/0.07*0.02,2)</f>
        <v>548874.29</v>
      </c>
      <c r="I22" s="17">
        <f>ROUND(I28/0.07*0.02,2)</f>
        <v>101517.14</v>
      </c>
      <c r="J22" s="8">
        <f t="shared" si="2"/>
        <v>1142636.8599999999</v>
      </c>
      <c r="K22" s="15"/>
    </row>
    <row r="23" spans="1:11">
      <c r="A23" s="5" t="s">
        <v>72</v>
      </c>
      <c r="B23" s="6" t="s">
        <v>75</v>
      </c>
      <c r="C23" s="6"/>
      <c r="D23" s="7" t="s">
        <v>28</v>
      </c>
      <c r="E23" s="8">
        <f>E24</f>
        <v>238518.86</v>
      </c>
      <c r="F23" s="8">
        <f>F24</f>
        <v>2168747.4300000002</v>
      </c>
      <c r="G23" s="8">
        <f>G24</f>
        <v>1530697.14</v>
      </c>
      <c r="H23" s="8">
        <f>H24</f>
        <v>4390994.29</v>
      </c>
      <c r="I23" s="8">
        <f>I24</f>
        <v>812137.14</v>
      </c>
      <c r="J23" s="8">
        <f t="shared" si="2"/>
        <v>9141094.8599999994</v>
      </c>
      <c r="K23" s="9"/>
    </row>
    <row r="24" spans="1:11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238518.86</v>
      </c>
      <c r="F24" s="8">
        <f>ROUND(F28/0.07*0.16,2)</f>
        <v>2168747.4300000002</v>
      </c>
      <c r="G24" s="8">
        <f>ROUND(G28/0.07*0.16,2)</f>
        <v>1530697.14</v>
      </c>
      <c r="H24" s="8">
        <f>ROUND(H28/0.07*0.16,2)</f>
        <v>4390994.29</v>
      </c>
      <c r="I24" s="8">
        <f>ROUND(I28/0.07*0.16,2)</f>
        <v>812137.14</v>
      </c>
      <c r="J24" s="8">
        <f t="shared" si="2"/>
        <v>9141094.8599999994</v>
      </c>
      <c r="K24" s="9"/>
    </row>
    <row r="25" spans="1:11">
      <c r="A25" s="5" t="s">
        <v>76</v>
      </c>
      <c r="B25" s="6" t="s">
        <v>80</v>
      </c>
      <c r="C25" s="6"/>
      <c r="D25" s="7" t="s">
        <v>28</v>
      </c>
      <c r="E25" s="8">
        <f>E26</f>
        <v>119259.43</v>
      </c>
      <c r="F25" s="8">
        <f>F26</f>
        <v>1084373.71</v>
      </c>
      <c r="G25" s="8">
        <f>G26</f>
        <v>765348.57</v>
      </c>
      <c r="H25" s="8">
        <f>H26</f>
        <v>2195497.14</v>
      </c>
      <c r="I25" s="8">
        <f>I26</f>
        <v>406068.57</v>
      </c>
      <c r="J25" s="8">
        <f t="shared" si="2"/>
        <v>4570547.42</v>
      </c>
      <c r="K25" s="9"/>
    </row>
    <row r="26" spans="1:11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119259.43</v>
      </c>
      <c r="F26" s="8">
        <f>ROUND(F28/0.07*0.08,2)</f>
        <v>1084373.71</v>
      </c>
      <c r="G26" s="8">
        <f>ROUND(G28/0.07*0.08,2)</f>
        <v>765348.57</v>
      </c>
      <c r="H26" s="8">
        <f>ROUND(H28/0.07*0.08,2)</f>
        <v>2195497.14</v>
      </c>
      <c r="I26" s="8">
        <f>ROUND(I28/0.07*0.08,2)</f>
        <v>406068.57</v>
      </c>
      <c r="J26" s="8">
        <f t="shared" si="2"/>
        <v>4570547.42</v>
      </c>
      <c r="K26" s="9"/>
    </row>
    <row r="27" spans="1:11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 t="shared" ref="E27:J27" si="5">6000*E93</f>
        <v>36000</v>
      </c>
      <c r="F27" s="8">
        <f t="shared" si="5"/>
        <v>414000</v>
      </c>
      <c r="G27" s="8">
        <f t="shared" si="5"/>
        <v>282000</v>
      </c>
      <c r="H27" s="8">
        <f t="shared" si="5"/>
        <v>726000</v>
      </c>
      <c r="I27" s="8">
        <f t="shared" si="5"/>
        <v>168000</v>
      </c>
      <c r="J27" s="8">
        <f t="shared" si="5"/>
        <v>1626000</v>
      </c>
      <c r="K27" s="9"/>
    </row>
    <row r="28" spans="1:11">
      <c r="A28" s="5" t="s">
        <v>84</v>
      </c>
      <c r="B28" s="6" t="s">
        <v>88</v>
      </c>
      <c r="C28" s="6" t="s">
        <v>88</v>
      </c>
      <c r="D28" s="7" t="s">
        <v>89</v>
      </c>
      <c r="E28" s="16">
        <v>104352</v>
      </c>
      <c r="F28" s="16">
        <v>948827</v>
      </c>
      <c r="G28" s="16">
        <v>669680</v>
      </c>
      <c r="H28" s="16">
        <v>1921060</v>
      </c>
      <c r="I28" s="16">
        <v>355310</v>
      </c>
      <c r="J28" s="8">
        <f t="shared" ref="J28:J89" si="6">SUM(E28:I28)</f>
        <v>3999229</v>
      </c>
      <c r="K28" s="15"/>
    </row>
    <row r="29" spans="1:11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8">
        <f t="shared" si="6"/>
        <v>0</v>
      </c>
      <c r="K29" s="15"/>
    </row>
    <row r="30" spans="1:11">
      <c r="A30" s="5" t="s">
        <v>90</v>
      </c>
      <c r="B30" s="6" t="s">
        <v>95</v>
      </c>
      <c r="C30" s="6"/>
      <c r="D30" s="7" t="s">
        <v>28</v>
      </c>
      <c r="E30" s="8">
        <f>E31+E39+E42+E44</f>
        <v>0</v>
      </c>
      <c r="F30" s="8">
        <f t="shared" ref="F30:I30" si="7">F31+F39+F42+F44</f>
        <v>7980</v>
      </c>
      <c r="G30" s="8">
        <f t="shared" si="7"/>
        <v>12200</v>
      </c>
      <c r="H30" s="8">
        <f t="shared" si="7"/>
        <v>27980</v>
      </c>
      <c r="I30" s="8">
        <f t="shared" si="7"/>
        <v>4500</v>
      </c>
      <c r="J30" s="8">
        <f t="shared" si="6"/>
        <v>52660</v>
      </c>
      <c r="K30" s="9"/>
    </row>
    <row r="31" spans="1:11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>F32+F33+F34+F35+F36+F37+F38</f>
        <v>0</v>
      </c>
      <c r="G31" s="8">
        <f>G32+G33+G34+G35+G36+G37+G38</f>
        <v>0</v>
      </c>
      <c r="H31" s="8">
        <f>H32+H33+H34+H35+H36+H37+H38</f>
        <v>0</v>
      </c>
      <c r="I31" s="8">
        <f>I32+I33+I34+I35+I36+I37+I38</f>
        <v>0</v>
      </c>
      <c r="J31" s="8">
        <f t="shared" si="6"/>
        <v>0</v>
      </c>
      <c r="K31" s="9"/>
    </row>
    <row r="32" spans="1:11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8">
        <f t="shared" si="6"/>
        <v>0</v>
      </c>
      <c r="K32" s="15"/>
    </row>
    <row r="33" spans="1:11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8">
        <f t="shared" si="6"/>
        <v>0</v>
      </c>
      <c r="K33" s="15"/>
    </row>
    <row r="34" spans="1:11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8">
        <f t="shared" si="6"/>
        <v>0</v>
      </c>
      <c r="K34" s="15"/>
    </row>
    <row r="35" spans="1:11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8">
        <f t="shared" si="6"/>
        <v>0</v>
      </c>
      <c r="K35" s="15"/>
    </row>
    <row r="36" spans="1:11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8">
        <f t="shared" si="6"/>
        <v>0</v>
      </c>
      <c r="K36" s="15"/>
    </row>
    <row r="37" spans="1:11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8">
        <f t="shared" si="6"/>
        <v>0</v>
      </c>
      <c r="K37" s="15"/>
    </row>
    <row r="38" spans="1:11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8">
        <f t="shared" si="6"/>
        <v>0</v>
      </c>
      <c r="K38" s="15"/>
    </row>
    <row r="39" spans="1:11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>F40+F41</f>
        <v>0</v>
      </c>
      <c r="G39" s="8">
        <f>G40+G41</f>
        <v>0</v>
      </c>
      <c r="H39" s="8">
        <f>H40+H41</f>
        <v>0</v>
      </c>
      <c r="I39" s="8">
        <f>I40+I41</f>
        <v>0</v>
      </c>
      <c r="J39" s="8">
        <f t="shared" si="6"/>
        <v>0</v>
      </c>
      <c r="K39" s="9"/>
    </row>
    <row r="40" spans="1:11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8">
        <f t="shared" si="6"/>
        <v>0</v>
      </c>
      <c r="K40" s="9"/>
    </row>
    <row r="41" spans="1:11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8">
        <f t="shared" si="6"/>
        <v>0</v>
      </c>
      <c r="K41" s="9"/>
    </row>
    <row r="42" spans="1:11">
      <c r="A42" s="5" t="s">
        <v>118</v>
      </c>
      <c r="B42" s="6" t="s">
        <v>125</v>
      </c>
      <c r="C42" s="6"/>
      <c r="D42" s="7" t="s">
        <v>28</v>
      </c>
      <c r="E42" s="8">
        <f>E43</f>
        <v>0</v>
      </c>
      <c r="F42" s="8">
        <f>F43</f>
        <v>4980</v>
      </c>
      <c r="G42" s="8">
        <f>G43</f>
        <v>4200</v>
      </c>
      <c r="H42" s="8">
        <f>H43</f>
        <v>7980</v>
      </c>
      <c r="I42" s="8">
        <f>I43</f>
        <v>2100</v>
      </c>
      <c r="J42" s="8">
        <f t="shared" si="6"/>
        <v>19260</v>
      </c>
      <c r="K42" s="9"/>
    </row>
    <row r="43" spans="1:11">
      <c r="A43" s="5" t="s">
        <v>120</v>
      </c>
      <c r="B43" s="6" t="s">
        <v>127</v>
      </c>
      <c r="C43" s="6" t="s">
        <v>35</v>
      </c>
      <c r="D43" s="7" t="s">
        <v>36</v>
      </c>
      <c r="E43" s="10"/>
      <c r="F43" s="10">
        <v>4980</v>
      </c>
      <c r="G43" s="10">
        <v>4200</v>
      </c>
      <c r="H43" s="10">
        <v>7980</v>
      </c>
      <c r="I43" s="10">
        <v>2100</v>
      </c>
      <c r="J43" s="19">
        <f t="shared" si="6"/>
        <v>19260</v>
      </c>
      <c r="K43" s="9"/>
    </row>
    <row r="44" spans="1:11">
      <c r="A44" s="5" t="s">
        <v>122</v>
      </c>
      <c r="B44" s="6" t="s">
        <v>129</v>
      </c>
      <c r="C44" s="6"/>
      <c r="D44" s="7" t="s">
        <v>28</v>
      </c>
      <c r="E44" s="8">
        <f>SUM(E45:E48)</f>
        <v>0</v>
      </c>
      <c r="F44" s="8">
        <f>SUM(F45:F48)</f>
        <v>3000</v>
      </c>
      <c r="G44" s="8">
        <f>SUM(G45:G48)</f>
        <v>8000</v>
      </c>
      <c r="H44" s="8">
        <f>SUM(H45:H48)</f>
        <v>20000</v>
      </c>
      <c r="I44" s="8">
        <f>SUM(I45:I48)</f>
        <v>2400</v>
      </c>
      <c r="J44" s="8">
        <f t="shared" si="6"/>
        <v>33400</v>
      </c>
      <c r="K44" s="9"/>
    </row>
    <row r="45" spans="1:11">
      <c r="A45" s="5" t="s">
        <v>124</v>
      </c>
      <c r="B45" s="6" t="s">
        <v>131</v>
      </c>
      <c r="C45" s="6" t="s">
        <v>35</v>
      </c>
      <c r="D45" s="7" t="s">
        <v>132</v>
      </c>
      <c r="E45" s="10"/>
      <c r="F45" s="10">
        <v>3000</v>
      </c>
      <c r="G45" s="10">
        <v>8000</v>
      </c>
      <c r="H45" s="10">
        <v>20000</v>
      </c>
      <c r="I45" s="10">
        <v>2400</v>
      </c>
      <c r="J45" s="8">
        <f t="shared" si="6"/>
        <v>33400</v>
      </c>
      <c r="K45" s="9"/>
    </row>
    <row r="46" spans="1:11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8">
        <f t="shared" si="6"/>
        <v>0</v>
      </c>
      <c r="K46" s="9"/>
    </row>
    <row r="47" spans="1:11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8">
        <f t="shared" si="6"/>
        <v>0</v>
      </c>
      <c r="K47" s="9"/>
    </row>
    <row r="48" spans="1:11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8">
        <f t="shared" si="6"/>
        <v>0</v>
      </c>
      <c r="K48" s="15"/>
    </row>
    <row r="49" spans="1:11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310474.86</v>
      </c>
      <c r="F49" s="8">
        <f t="shared" ref="F49:I49" si="8">F50+F68+F70+F72+F74+F76+F78+F80+F82+F90</f>
        <v>3109622.33</v>
      </c>
      <c r="G49" s="8">
        <f t="shared" si="8"/>
        <v>2043663.1400000001</v>
      </c>
      <c r="H49" s="8">
        <f t="shared" si="8"/>
        <v>6721894.5899999999</v>
      </c>
      <c r="I49" s="8">
        <f t="shared" si="8"/>
        <v>1286182.74</v>
      </c>
      <c r="J49" s="8">
        <f t="shared" si="6"/>
        <v>13471837.66</v>
      </c>
      <c r="K49" s="9"/>
    </row>
    <row r="50" spans="1:11">
      <c r="A50" s="5" t="s">
        <v>136</v>
      </c>
      <c r="B50" s="6" t="s">
        <v>144</v>
      </c>
      <c r="C50" s="6"/>
      <c r="D50" s="7" t="s">
        <v>145</v>
      </c>
      <c r="E50" s="8">
        <v>134400</v>
      </c>
      <c r="F50" s="8">
        <v>2262260</v>
      </c>
      <c r="G50" s="8">
        <v>1501500</v>
      </c>
      <c r="H50" s="8">
        <v>4605910</v>
      </c>
      <c r="I50" s="8">
        <v>858000</v>
      </c>
      <c r="J50" s="8">
        <f t="shared" si="6"/>
        <v>9362070</v>
      </c>
      <c r="K50" s="9"/>
    </row>
    <row r="51" spans="1:11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8">
        <f t="shared" si="6"/>
        <v>0</v>
      </c>
      <c r="K51" s="9"/>
    </row>
    <row r="52" spans="1:11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8">
        <f t="shared" si="6"/>
        <v>0</v>
      </c>
      <c r="K52" s="9"/>
    </row>
    <row r="53" spans="1:11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8">
        <f t="shared" si="6"/>
        <v>0</v>
      </c>
      <c r="K53" s="9"/>
    </row>
    <row r="54" spans="1:11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8">
        <f t="shared" si="6"/>
        <v>0</v>
      </c>
      <c r="K54" s="9"/>
    </row>
    <row r="55" spans="1:11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8">
        <f t="shared" si="6"/>
        <v>0</v>
      </c>
      <c r="K55" s="9"/>
    </row>
    <row r="56" spans="1:11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8">
        <f t="shared" si="6"/>
        <v>0</v>
      </c>
      <c r="K56" s="9"/>
    </row>
    <row r="57" spans="1:11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8">
        <f t="shared" si="6"/>
        <v>0</v>
      </c>
      <c r="K57" s="9"/>
    </row>
    <row r="58" spans="1:11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8">
        <f t="shared" si="6"/>
        <v>0</v>
      </c>
      <c r="K58" s="9"/>
    </row>
    <row r="59" spans="1:11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8">
        <f t="shared" si="6"/>
        <v>0</v>
      </c>
      <c r="K59" s="9"/>
    </row>
    <row r="60" spans="1:11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6720</v>
      </c>
      <c r="F60" s="10">
        <v>99385</v>
      </c>
      <c r="G60" s="10">
        <v>75075</v>
      </c>
      <c r="H60" s="10">
        <v>230295.5</v>
      </c>
      <c r="I60" s="10">
        <v>38896</v>
      </c>
      <c r="J60" s="8">
        <f t="shared" si="6"/>
        <v>450371.5</v>
      </c>
      <c r="K60" s="9"/>
    </row>
    <row r="61" spans="1:11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8">
        <f t="shared" si="6"/>
        <v>0</v>
      </c>
      <c r="K61" s="9"/>
    </row>
    <row r="62" spans="1:11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8">
        <f t="shared" si="6"/>
        <v>0</v>
      </c>
      <c r="K62" s="9"/>
    </row>
    <row r="63" spans="1:11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8">
        <f t="shared" si="6"/>
        <v>0</v>
      </c>
      <c r="K63" s="9"/>
    </row>
    <row r="64" spans="1:11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8">
        <f t="shared" si="6"/>
        <v>0</v>
      </c>
      <c r="K64" s="9"/>
    </row>
    <row r="65" spans="1:11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8">
        <f t="shared" si="6"/>
        <v>0</v>
      </c>
      <c r="K65" s="9"/>
    </row>
    <row r="66" spans="1:11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8">
        <f t="shared" si="6"/>
        <v>0</v>
      </c>
      <c r="K66" s="9"/>
    </row>
    <row r="67" spans="1:11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8">
        <f t="shared" si="6"/>
        <v>0</v>
      </c>
      <c r="K67" s="9"/>
    </row>
    <row r="68" spans="1:11">
      <c r="A68" s="5" t="s">
        <v>176</v>
      </c>
      <c r="B68" s="6" t="s">
        <v>183</v>
      </c>
      <c r="C68" s="6"/>
      <c r="D68" s="7"/>
      <c r="E68" s="8">
        <f>E69</f>
        <v>2400</v>
      </c>
      <c r="F68" s="8">
        <f>F69</f>
        <v>27600</v>
      </c>
      <c r="G68" s="8">
        <f>G69</f>
        <v>18800</v>
      </c>
      <c r="H68" s="8">
        <f>H69</f>
        <v>48400</v>
      </c>
      <c r="I68" s="8">
        <f>I69</f>
        <v>11200</v>
      </c>
      <c r="J68" s="8">
        <f t="shared" si="6"/>
        <v>108400</v>
      </c>
      <c r="K68" s="9"/>
    </row>
    <row r="69" spans="1:11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2400</v>
      </c>
      <c r="F69" s="8">
        <f>F93*400</f>
        <v>27600</v>
      </c>
      <c r="G69" s="8">
        <f>G93*400</f>
        <v>18800</v>
      </c>
      <c r="H69" s="8">
        <f>H93*400</f>
        <v>48400</v>
      </c>
      <c r="I69" s="8">
        <f>I93*400</f>
        <v>11200</v>
      </c>
      <c r="J69" s="8">
        <f t="shared" si="6"/>
        <v>108400</v>
      </c>
      <c r="K69" s="9"/>
    </row>
    <row r="70" spans="1:11">
      <c r="A70" s="5" t="s">
        <v>180</v>
      </c>
      <c r="B70" s="6" t="s">
        <v>188</v>
      </c>
      <c r="C70" s="6"/>
      <c r="D70" s="7" t="s">
        <v>28</v>
      </c>
      <c r="E70" s="8">
        <f>E71</f>
        <v>54900</v>
      </c>
      <c r="F70" s="8">
        <f>F71</f>
        <v>130548.90000000001</v>
      </c>
      <c r="G70" s="8">
        <f>G71</f>
        <v>77250</v>
      </c>
      <c r="H70" s="8">
        <f>H71</f>
        <v>424758.30000000005</v>
      </c>
      <c r="I70" s="8">
        <f>I71</f>
        <v>133521.60000000001</v>
      </c>
      <c r="J70" s="8">
        <f t="shared" si="6"/>
        <v>820978.8</v>
      </c>
      <c r="K70" s="9"/>
    </row>
    <row r="71" spans="1:11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54900</v>
      </c>
      <c r="F71" s="8">
        <f>F105*15</f>
        <v>130548.90000000001</v>
      </c>
      <c r="G71" s="8">
        <f>G105*15</f>
        <v>77250</v>
      </c>
      <c r="H71" s="8">
        <f>H105*15</f>
        <v>424758.30000000005</v>
      </c>
      <c r="I71" s="8">
        <f>I105*15</f>
        <v>133521.60000000001</v>
      </c>
      <c r="J71" s="8">
        <f t="shared" si="6"/>
        <v>820978.8</v>
      </c>
      <c r="K71" s="9"/>
    </row>
    <row r="72" spans="1:11">
      <c r="A72" s="5" t="s">
        <v>184</v>
      </c>
      <c r="B72" s="6" t="s">
        <v>193</v>
      </c>
      <c r="C72" s="6"/>
      <c r="D72" s="7" t="s">
        <v>28</v>
      </c>
      <c r="E72" s="8">
        <f>E73</f>
        <v>21600</v>
      </c>
      <c r="F72" s="8">
        <f>F73</f>
        <v>26120</v>
      </c>
      <c r="G72" s="8">
        <f>G73</f>
        <v>19736</v>
      </c>
      <c r="H72" s="8">
        <f>H73</f>
        <v>119152</v>
      </c>
      <c r="I72" s="8">
        <f>I73</f>
        <v>28984</v>
      </c>
      <c r="J72" s="8">
        <f t="shared" si="6"/>
        <v>215592</v>
      </c>
      <c r="K72" s="9"/>
    </row>
    <row r="73" spans="1:11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21600</v>
      </c>
      <c r="F73" s="8">
        <f>F106*8</f>
        <v>26120</v>
      </c>
      <c r="G73" s="8">
        <f>G106*8</f>
        <v>19736</v>
      </c>
      <c r="H73" s="8">
        <f>H106*8</f>
        <v>119152</v>
      </c>
      <c r="I73" s="8">
        <f>I106*8</f>
        <v>28984</v>
      </c>
      <c r="J73" s="8">
        <f t="shared" si="6"/>
        <v>215592</v>
      </c>
      <c r="K73" s="9"/>
    </row>
    <row r="74" spans="1:11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>F75</f>
        <v>0</v>
      </c>
      <c r="G74" s="8">
        <f>G75</f>
        <v>0</v>
      </c>
      <c r="H74" s="8">
        <f>H75</f>
        <v>0</v>
      </c>
      <c r="I74" s="8">
        <f>I75</f>
        <v>0</v>
      </c>
      <c r="J74" s="8">
        <f t="shared" si="6"/>
        <v>0</v>
      </c>
      <c r="K74" s="9"/>
    </row>
    <row r="75" spans="1:11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>
        <v>0</v>
      </c>
      <c r="F75" s="18"/>
      <c r="G75" s="18"/>
      <c r="H75" s="18"/>
      <c r="I75" s="18"/>
      <c r="J75" s="8">
        <f t="shared" si="6"/>
        <v>0</v>
      </c>
      <c r="K75" s="9"/>
    </row>
    <row r="76" spans="1:11">
      <c r="A76" s="5" t="s">
        <v>194</v>
      </c>
      <c r="B76" s="6" t="s">
        <v>202</v>
      </c>
      <c r="C76" s="6"/>
      <c r="D76" s="7" t="s">
        <v>28</v>
      </c>
      <c r="E76" s="8">
        <f>E77</f>
        <v>25920</v>
      </c>
      <c r="F76" s="8">
        <f>F77</f>
        <v>298080</v>
      </c>
      <c r="G76" s="8">
        <f>G77</f>
        <v>203040</v>
      </c>
      <c r="H76" s="8">
        <f>H77</f>
        <v>522720</v>
      </c>
      <c r="I76" s="8">
        <f>I77</f>
        <v>120960</v>
      </c>
      <c r="J76" s="8">
        <f t="shared" si="6"/>
        <v>1170720</v>
      </c>
      <c r="K76" s="9"/>
    </row>
    <row r="77" spans="1:11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25920</v>
      </c>
      <c r="F77" s="8">
        <f>F93*4320</f>
        <v>298080</v>
      </c>
      <c r="G77" s="8">
        <f>G93*4320</f>
        <v>203040</v>
      </c>
      <c r="H77" s="8">
        <f>H93*4320</f>
        <v>522720</v>
      </c>
      <c r="I77" s="8">
        <f>I93*4320</f>
        <v>120960</v>
      </c>
      <c r="J77" s="8">
        <f t="shared" si="6"/>
        <v>1170720</v>
      </c>
      <c r="K77" s="9"/>
    </row>
    <row r="78" spans="1:11">
      <c r="A78" s="5" t="s">
        <v>199</v>
      </c>
      <c r="B78" s="6" t="s">
        <v>207</v>
      </c>
      <c r="C78" s="6"/>
      <c r="D78" s="7" t="s">
        <v>28</v>
      </c>
      <c r="E78" s="8">
        <f>E79</f>
        <v>29814.86</v>
      </c>
      <c r="F78" s="8">
        <f>F79</f>
        <v>271093.43</v>
      </c>
      <c r="G78" s="8">
        <f>G79</f>
        <v>191337.14</v>
      </c>
      <c r="H78" s="8">
        <f>H79</f>
        <v>548874.29</v>
      </c>
      <c r="I78" s="8">
        <f>I79</f>
        <v>101517.14</v>
      </c>
      <c r="J78" s="8">
        <f t="shared" si="6"/>
        <v>1142636.8599999999</v>
      </c>
      <c r="K78" s="9"/>
    </row>
    <row r="79" spans="1:11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29814.86</v>
      </c>
      <c r="F79" s="8">
        <f>ROUND(F28/0.07*0.02,2)</f>
        <v>271093.43</v>
      </c>
      <c r="G79" s="8">
        <f>ROUND(G28/0.07*0.02,2)</f>
        <v>191337.14</v>
      </c>
      <c r="H79" s="8">
        <f>ROUND(H28/0.07*0.02,2)</f>
        <v>548874.29</v>
      </c>
      <c r="I79" s="8">
        <f>ROUND(I28/0.07*0.02,2)</f>
        <v>101517.14</v>
      </c>
      <c r="J79" s="8">
        <f t="shared" si="6"/>
        <v>1142636.8599999999</v>
      </c>
      <c r="K79" s="9"/>
    </row>
    <row r="80" spans="1:11">
      <c r="A80" s="5" t="s">
        <v>203</v>
      </c>
      <c r="B80" s="6" t="s">
        <v>211</v>
      </c>
      <c r="C80" s="6"/>
      <c r="D80" s="7" t="s">
        <v>28</v>
      </c>
      <c r="E80" s="8">
        <f>E81</f>
        <v>0</v>
      </c>
      <c r="F80" s="8">
        <f>F81</f>
        <v>32000</v>
      </c>
      <c r="G80" s="8">
        <f>G81</f>
        <v>0</v>
      </c>
      <c r="H80" s="8">
        <f>H81</f>
        <v>32000</v>
      </c>
      <c r="I80" s="8">
        <f>I81</f>
        <v>0</v>
      </c>
      <c r="J80" s="8">
        <f t="shared" si="6"/>
        <v>64000</v>
      </c>
      <c r="K80" s="9"/>
    </row>
    <row r="81" spans="1:11" ht="33.75">
      <c r="A81" s="5" t="s">
        <v>206</v>
      </c>
      <c r="B81" s="6" t="s">
        <v>213</v>
      </c>
      <c r="C81" s="6" t="s">
        <v>35</v>
      </c>
      <c r="D81" s="20" t="s">
        <v>214</v>
      </c>
      <c r="E81" s="10"/>
      <c r="F81" s="10">
        <v>32000</v>
      </c>
      <c r="G81" s="10"/>
      <c r="H81" s="10">
        <v>32000</v>
      </c>
      <c r="I81" s="10"/>
      <c r="J81" s="8">
        <f t="shared" si="6"/>
        <v>64000</v>
      </c>
      <c r="K81" s="9"/>
    </row>
    <row r="82" spans="1:11">
      <c r="A82" s="5" t="s">
        <v>208</v>
      </c>
      <c r="B82" s="6" t="s">
        <v>216</v>
      </c>
      <c r="C82" s="6"/>
      <c r="D82" s="7" t="s">
        <v>28</v>
      </c>
      <c r="E82" s="8">
        <f>E83+E86+E89</f>
        <v>9440</v>
      </c>
      <c r="F82" s="8">
        <f>F83+F86+F89</f>
        <v>51920</v>
      </c>
      <c r="G82" s="8">
        <f>G83+G86+G89</f>
        <v>0</v>
      </c>
      <c r="H82" s="8">
        <f>H83+H86+H89</f>
        <v>420080</v>
      </c>
      <c r="I82" s="8">
        <f>I83+I86+I89</f>
        <v>0</v>
      </c>
      <c r="J82" s="8">
        <f t="shared" si="6"/>
        <v>481440</v>
      </c>
      <c r="K82" s="9"/>
    </row>
    <row r="83" spans="1:11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>F84+F85</f>
        <v>0</v>
      </c>
      <c r="G83" s="8">
        <f>G84+G85</f>
        <v>0</v>
      </c>
      <c r="H83" s="8">
        <f>H84+H85</f>
        <v>0</v>
      </c>
      <c r="I83" s="8">
        <f>I84+I85</f>
        <v>0</v>
      </c>
      <c r="J83" s="8">
        <f t="shared" si="6"/>
        <v>0</v>
      </c>
      <c r="K83" s="9"/>
    </row>
    <row r="84" spans="1:11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8">
        <f t="shared" si="6"/>
        <v>0</v>
      </c>
      <c r="K84" s="15"/>
    </row>
    <row r="85" spans="1:11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8">
        <f t="shared" si="6"/>
        <v>0</v>
      </c>
      <c r="K85" s="15"/>
    </row>
    <row r="86" spans="1:11">
      <c r="A86" s="5" t="s">
        <v>217</v>
      </c>
      <c r="B86" s="6" t="s">
        <v>225</v>
      </c>
      <c r="C86" s="6"/>
      <c r="D86" s="7" t="s">
        <v>28</v>
      </c>
      <c r="E86" s="8">
        <f>E87+E88</f>
        <v>9440</v>
      </c>
      <c r="F86" s="8">
        <f>F87+F88</f>
        <v>51920</v>
      </c>
      <c r="G86" s="8">
        <f>G87+G88</f>
        <v>0</v>
      </c>
      <c r="H86" s="8">
        <f>H87+H88</f>
        <v>420080</v>
      </c>
      <c r="I86" s="8">
        <f>I87+I88</f>
        <v>0</v>
      </c>
      <c r="J86" s="8">
        <f t="shared" si="6"/>
        <v>481440</v>
      </c>
      <c r="K86" s="9"/>
    </row>
    <row r="87" spans="1:11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800</v>
      </c>
      <c r="F87" s="8">
        <f>F104*400</f>
        <v>4400</v>
      </c>
      <c r="G87" s="8">
        <f>G104*400</f>
        <v>0</v>
      </c>
      <c r="H87" s="8">
        <f>H104*400</f>
        <v>35600</v>
      </c>
      <c r="I87" s="8">
        <f>I104*400</f>
        <v>0</v>
      </c>
      <c r="J87" s="8">
        <f t="shared" si="6"/>
        <v>40800</v>
      </c>
      <c r="K87" s="9"/>
    </row>
    <row r="88" spans="1:11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8640</v>
      </c>
      <c r="F88" s="8">
        <f>F104*4320</f>
        <v>47520</v>
      </c>
      <c r="G88" s="8">
        <f>G104*4320</f>
        <v>0</v>
      </c>
      <c r="H88" s="8">
        <f>H104*4320</f>
        <v>384480</v>
      </c>
      <c r="I88" s="8">
        <f>I104*4320</f>
        <v>0</v>
      </c>
      <c r="J88" s="8">
        <f t="shared" si="6"/>
        <v>440640</v>
      </c>
      <c r="K88" s="9"/>
    </row>
    <row r="89" spans="1:11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8">
        <f t="shared" si="6"/>
        <v>0</v>
      </c>
      <c r="K89" s="15"/>
    </row>
    <row r="90" spans="1:11">
      <c r="A90" s="5" t="s">
        <v>226</v>
      </c>
      <c r="B90" s="6" t="s">
        <v>235</v>
      </c>
      <c r="C90" s="6"/>
      <c r="D90" s="7" t="s">
        <v>28</v>
      </c>
      <c r="E90" s="8">
        <f>E91</f>
        <v>32000</v>
      </c>
      <c r="F90" s="8">
        <f>F91</f>
        <v>10000</v>
      </c>
      <c r="G90" s="8">
        <f>G91</f>
        <v>32000</v>
      </c>
      <c r="H90" s="8">
        <f>H91</f>
        <v>0</v>
      </c>
      <c r="I90" s="8">
        <f>I91</f>
        <v>32000</v>
      </c>
      <c r="J90" s="8">
        <f t="shared" ref="J90:J106" si="9">SUM(E90:I90)</f>
        <v>106000</v>
      </c>
      <c r="K90" s="9"/>
    </row>
    <row r="91" spans="1:11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>
        <v>32000</v>
      </c>
      <c r="F91" s="26">
        <v>10000</v>
      </c>
      <c r="G91" s="26">
        <v>32000</v>
      </c>
      <c r="H91" s="26"/>
      <c r="I91" s="26">
        <v>32000</v>
      </c>
      <c r="J91" s="8">
        <f t="shared" si="9"/>
        <v>106000</v>
      </c>
      <c r="K91" s="27"/>
    </row>
    <row r="92" spans="1:11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8">
        <f t="shared" si="9"/>
        <v>0</v>
      </c>
      <c r="K92" s="31"/>
    </row>
    <row r="93" spans="1:11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6</v>
      </c>
      <c r="F93" s="8">
        <f>F94+F95+F96+F97</f>
        <v>69</v>
      </c>
      <c r="G93" s="8">
        <f>G94+G95+G96+G97</f>
        <v>47</v>
      </c>
      <c r="H93" s="8">
        <f>H94+H95+H96+H97</f>
        <v>121</v>
      </c>
      <c r="I93" s="8">
        <f>I94+I95+I96+I97</f>
        <v>28</v>
      </c>
      <c r="J93" s="8">
        <f t="shared" si="9"/>
        <v>271</v>
      </c>
      <c r="K93" s="9"/>
    </row>
    <row r="94" spans="1:11">
      <c r="A94" s="5" t="s">
        <v>236</v>
      </c>
      <c r="B94" s="32" t="s">
        <v>245</v>
      </c>
      <c r="C94" s="32"/>
      <c r="D94" s="15"/>
      <c r="E94" s="16"/>
      <c r="F94" s="16"/>
      <c r="G94" s="16"/>
      <c r="H94" s="16">
        <v>55</v>
      </c>
      <c r="I94" s="16"/>
      <c r="J94" s="8">
        <f t="shared" si="9"/>
        <v>55</v>
      </c>
      <c r="K94" s="9"/>
    </row>
    <row r="95" spans="1:11">
      <c r="A95" s="5" t="s">
        <v>239</v>
      </c>
      <c r="B95" s="32" t="s">
        <v>247</v>
      </c>
      <c r="C95" s="32"/>
      <c r="D95" s="7"/>
      <c r="E95" s="10"/>
      <c r="F95" s="10"/>
      <c r="G95" s="10"/>
      <c r="H95" s="10">
        <v>66</v>
      </c>
      <c r="I95" s="10"/>
      <c r="J95" s="8">
        <f t="shared" si="9"/>
        <v>66</v>
      </c>
      <c r="K95" s="9"/>
    </row>
    <row r="96" spans="1:11">
      <c r="A96" s="5" t="s">
        <v>241</v>
      </c>
      <c r="B96" s="32" t="s">
        <v>249</v>
      </c>
      <c r="C96" s="32"/>
      <c r="D96" s="15"/>
      <c r="E96" s="16"/>
      <c r="F96" s="16">
        <v>69</v>
      </c>
      <c r="G96" s="16">
        <v>47</v>
      </c>
      <c r="H96" s="16"/>
      <c r="I96" s="16">
        <v>28</v>
      </c>
      <c r="J96" s="8">
        <f t="shared" si="9"/>
        <v>144</v>
      </c>
      <c r="K96" s="9"/>
    </row>
    <row r="97" spans="1:11">
      <c r="A97" s="5" t="s">
        <v>244</v>
      </c>
      <c r="B97" s="32" t="s">
        <v>251</v>
      </c>
      <c r="C97" s="32"/>
      <c r="D97" s="15"/>
      <c r="E97" s="16">
        <v>6</v>
      </c>
      <c r="F97" s="16"/>
      <c r="G97" s="16"/>
      <c r="H97" s="16"/>
      <c r="I97" s="16"/>
      <c r="J97" s="8">
        <f t="shared" si="9"/>
        <v>6</v>
      </c>
      <c r="K97" s="9"/>
    </row>
    <row r="98" spans="1:11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0</v>
      </c>
      <c r="F98" s="8">
        <f>F99+F100+F101+F102</f>
        <v>695</v>
      </c>
      <c r="G98" s="8">
        <f>G99+G100+G101+G102</f>
        <v>525</v>
      </c>
      <c r="H98" s="8">
        <f>H99+H100+H101+H102</f>
        <v>1409</v>
      </c>
      <c r="I98" s="8">
        <f>I99+I100+I101+I102</f>
        <v>272</v>
      </c>
      <c r="J98" s="8">
        <f t="shared" si="9"/>
        <v>2901</v>
      </c>
      <c r="K98" s="9"/>
    </row>
    <row r="99" spans="1:11">
      <c r="A99" s="5" t="s">
        <v>248</v>
      </c>
      <c r="B99" s="32" t="s">
        <v>245</v>
      </c>
      <c r="C99" s="32"/>
      <c r="D99" s="15"/>
      <c r="E99" s="16"/>
      <c r="F99" s="16"/>
      <c r="G99" s="16"/>
      <c r="H99" s="16">
        <v>593</v>
      </c>
      <c r="I99" s="16"/>
      <c r="J99" s="8">
        <f t="shared" si="9"/>
        <v>593</v>
      </c>
      <c r="K99" s="9"/>
    </row>
    <row r="100" spans="1:11">
      <c r="A100" s="5" t="s">
        <v>250</v>
      </c>
      <c r="B100" s="32" t="s">
        <v>247</v>
      </c>
      <c r="C100" s="32"/>
      <c r="D100" s="7"/>
      <c r="E100" s="10"/>
      <c r="F100" s="10"/>
      <c r="G100" s="10"/>
      <c r="H100" s="10">
        <v>816</v>
      </c>
      <c r="I100" s="10"/>
      <c r="J100" s="8">
        <f t="shared" si="9"/>
        <v>816</v>
      </c>
      <c r="K100" s="9"/>
    </row>
    <row r="101" spans="1:11">
      <c r="A101" s="5" t="s">
        <v>252</v>
      </c>
      <c r="B101" s="32" t="s">
        <v>249</v>
      </c>
      <c r="C101" s="32"/>
      <c r="D101" s="15"/>
      <c r="E101" s="16"/>
      <c r="F101" s="16">
        <v>695</v>
      </c>
      <c r="G101" s="16">
        <v>525</v>
      </c>
      <c r="H101" s="16"/>
      <c r="I101" s="16">
        <v>272</v>
      </c>
      <c r="J101" s="8">
        <f t="shared" si="9"/>
        <v>1492</v>
      </c>
      <c r="K101" s="9"/>
    </row>
    <row r="102" spans="1:11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8">
        <f t="shared" si="9"/>
        <v>0</v>
      </c>
      <c r="K102" s="9"/>
    </row>
    <row r="103" spans="1:11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8">
        <f t="shared" si="9"/>
        <v>0</v>
      </c>
      <c r="K103" s="9"/>
    </row>
    <row r="104" spans="1:11">
      <c r="A104" s="5" t="s">
        <v>257</v>
      </c>
      <c r="B104" s="6" t="s">
        <v>261</v>
      </c>
      <c r="C104" s="6"/>
      <c r="D104" s="7"/>
      <c r="E104" s="10">
        <v>2</v>
      </c>
      <c r="F104" s="10">
        <v>11</v>
      </c>
      <c r="G104" s="10"/>
      <c r="H104" s="10">
        <v>89</v>
      </c>
      <c r="I104" s="10"/>
      <c r="J104" s="8">
        <f t="shared" si="9"/>
        <v>102</v>
      </c>
      <c r="K104" s="9"/>
    </row>
    <row r="105" spans="1:11">
      <c r="A105" s="5" t="s">
        <v>258</v>
      </c>
      <c r="B105" s="32" t="s">
        <v>262</v>
      </c>
      <c r="C105" s="32"/>
      <c r="D105" s="20"/>
      <c r="E105" s="10">
        <v>3660</v>
      </c>
      <c r="F105" s="10">
        <v>8703.26</v>
      </c>
      <c r="G105" s="10">
        <v>5150</v>
      </c>
      <c r="H105" s="10">
        <v>28317.22</v>
      </c>
      <c r="I105" s="10">
        <v>8901.44</v>
      </c>
      <c r="J105" s="8">
        <f t="shared" si="9"/>
        <v>54731.920000000006</v>
      </c>
      <c r="K105" s="9"/>
    </row>
    <row r="106" spans="1:11">
      <c r="A106" s="5" t="s">
        <v>259</v>
      </c>
      <c r="B106" s="32" t="s">
        <v>263</v>
      </c>
      <c r="C106" s="32"/>
      <c r="D106" s="20"/>
      <c r="E106" s="10">
        <v>2700</v>
      </c>
      <c r="F106" s="10">
        <v>3265</v>
      </c>
      <c r="G106" s="10">
        <v>2467</v>
      </c>
      <c r="H106" s="10">
        <v>14894</v>
      </c>
      <c r="I106" s="10">
        <v>3623</v>
      </c>
      <c r="J106" s="8">
        <f t="shared" si="9"/>
        <v>26949</v>
      </c>
      <c r="K106" s="9"/>
    </row>
    <row r="107" spans="1:11">
      <c r="E107" s="86">
        <f t="shared" ref="E107:J107" si="10">E4/E93</f>
        <v>368165.50333333324</v>
      </c>
      <c r="F107" s="1">
        <f t="shared" si="10"/>
        <v>321899.00985507248</v>
      </c>
      <c r="G107" s="1">
        <f t="shared" si="10"/>
        <v>320081.32829787233</v>
      </c>
      <c r="H107" s="86">
        <f t="shared" si="10"/>
        <v>361856.17760330578</v>
      </c>
      <c r="I107" s="1">
        <f t="shared" si="10"/>
        <v>309090.33821428573</v>
      </c>
      <c r="J107" s="1">
        <f t="shared" si="10"/>
        <v>339125.36564575648</v>
      </c>
    </row>
  </sheetData>
  <protectedRanges>
    <protectedRange password="E9C1" sqref="D28 J21:K26 K20 J4:K9 K10 K27 A2:K3 A4:D5 J11:K19 B6:D26 J28:K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K1"/>
  </mergeCells>
  <phoneticPr fontId="3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7"/>
  <sheetViews>
    <sheetView workbookViewId="0">
      <pane xSplit="4" ySplit="2" topLeftCell="E3" activePane="bottomRight" state="frozen"/>
      <selection pane="topRight" activeCell="E1" sqref="E1"/>
      <selection pane="bottomLeft" activeCell="A3" sqref="A3"/>
      <selection pane="bottomRight" activeCell="L3" sqref="L3:L106"/>
    </sheetView>
  </sheetViews>
  <sheetFormatPr defaultColWidth="15.625" defaultRowHeight="11.25"/>
  <cols>
    <col min="1" max="1" width="4.625" style="115" customWidth="1"/>
    <col min="2" max="2" width="29.25" style="86" customWidth="1"/>
    <col min="3" max="3" width="13" style="86" customWidth="1"/>
    <col min="4" max="4" width="20" style="116" customWidth="1"/>
    <col min="5" max="256" width="15.625" style="86"/>
    <col min="257" max="257" width="4.625" style="86" customWidth="1"/>
    <col min="258" max="258" width="29.25" style="86" customWidth="1"/>
    <col min="259" max="259" width="13" style="86" customWidth="1"/>
    <col min="260" max="260" width="20" style="86" customWidth="1"/>
    <col min="261" max="512" width="15.625" style="86"/>
    <col min="513" max="513" width="4.625" style="86" customWidth="1"/>
    <col min="514" max="514" width="29.25" style="86" customWidth="1"/>
    <col min="515" max="515" width="13" style="86" customWidth="1"/>
    <col min="516" max="516" width="20" style="86" customWidth="1"/>
    <col min="517" max="768" width="15.625" style="86"/>
    <col min="769" max="769" width="4.625" style="86" customWidth="1"/>
    <col min="770" max="770" width="29.25" style="86" customWidth="1"/>
    <col min="771" max="771" width="13" style="86" customWidth="1"/>
    <col min="772" max="772" width="20" style="86" customWidth="1"/>
    <col min="773" max="1024" width="15.625" style="86"/>
    <col min="1025" max="1025" width="4.625" style="86" customWidth="1"/>
    <col min="1026" max="1026" width="29.25" style="86" customWidth="1"/>
    <col min="1027" max="1027" width="13" style="86" customWidth="1"/>
    <col min="1028" max="1028" width="20" style="86" customWidth="1"/>
    <col min="1029" max="1280" width="15.625" style="86"/>
    <col min="1281" max="1281" width="4.625" style="86" customWidth="1"/>
    <col min="1282" max="1282" width="29.25" style="86" customWidth="1"/>
    <col min="1283" max="1283" width="13" style="86" customWidth="1"/>
    <col min="1284" max="1284" width="20" style="86" customWidth="1"/>
    <col min="1285" max="1536" width="15.625" style="86"/>
    <col min="1537" max="1537" width="4.625" style="86" customWidth="1"/>
    <col min="1538" max="1538" width="29.25" style="86" customWidth="1"/>
    <col min="1539" max="1539" width="13" style="86" customWidth="1"/>
    <col min="1540" max="1540" width="20" style="86" customWidth="1"/>
    <col min="1541" max="1792" width="15.625" style="86"/>
    <col min="1793" max="1793" width="4.625" style="86" customWidth="1"/>
    <col min="1794" max="1794" width="29.25" style="86" customWidth="1"/>
    <col min="1795" max="1795" width="13" style="86" customWidth="1"/>
    <col min="1796" max="1796" width="20" style="86" customWidth="1"/>
    <col min="1797" max="2048" width="15.625" style="86"/>
    <col min="2049" max="2049" width="4.625" style="86" customWidth="1"/>
    <col min="2050" max="2050" width="29.25" style="86" customWidth="1"/>
    <col min="2051" max="2051" width="13" style="86" customWidth="1"/>
    <col min="2052" max="2052" width="20" style="86" customWidth="1"/>
    <col min="2053" max="2304" width="15.625" style="86"/>
    <col min="2305" max="2305" width="4.625" style="86" customWidth="1"/>
    <col min="2306" max="2306" width="29.25" style="86" customWidth="1"/>
    <col min="2307" max="2307" width="13" style="86" customWidth="1"/>
    <col min="2308" max="2308" width="20" style="86" customWidth="1"/>
    <col min="2309" max="2560" width="15.625" style="86"/>
    <col min="2561" max="2561" width="4.625" style="86" customWidth="1"/>
    <col min="2562" max="2562" width="29.25" style="86" customWidth="1"/>
    <col min="2563" max="2563" width="13" style="86" customWidth="1"/>
    <col min="2564" max="2564" width="20" style="86" customWidth="1"/>
    <col min="2565" max="2816" width="15.625" style="86"/>
    <col min="2817" max="2817" width="4.625" style="86" customWidth="1"/>
    <col min="2818" max="2818" width="29.25" style="86" customWidth="1"/>
    <col min="2819" max="2819" width="13" style="86" customWidth="1"/>
    <col min="2820" max="2820" width="20" style="86" customWidth="1"/>
    <col min="2821" max="3072" width="15.625" style="86"/>
    <col min="3073" max="3073" width="4.625" style="86" customWidth="1"/>
    <col min="3074" max="3074" width="29.25" style="86" customWidth="1"/>
    <col min="3075" max="3075" width="13" style="86" customWidth="1"/>
    <col min="3076" max="3076" width="20" style="86" customWidth="1"/>
    <col min="3077" max="3328" width="15.625" style="86"/>
    <col min="3329" max="3329" width="4.625" style="86" customWidth="1"/>
    <col min="3330" max="3330" width="29.25" style="86" customWidth="1"/>
    <col min="3331" max="3331" width="13" style="86" customWidth="1"/>
    <col min="3332" max="3332" width="20" style="86" customWidth="1"/>
    <col min="3333" max="3584" width="15.625" style="86"/>
    <col min="3585" max="3585" width="4.625" style="86" customWidth="1"/>
    <col min="3586" max="3586" width="29.25" style="86" customWidth="1"/>
    <col min="3587" max="3587" width="13" style="86" customWidth="1"/>
    <col min="3588" max="3588" width="20" style="86" customWidth="1"/>
    <col min="3589" max="3840" width="15.625" style="86"/>
    <col min="3841" max="3841" width="4.625" style="86" customWidth="1"/>
    <col min="3842" max="3842" width="29.25" style="86" customWidth="1"/>
    <col min="3843" max="3843" width="13" style="86" customWidth="1"/>
    <col min="3844" max="3844" width="20" style="86" customWidth="1"/>
    <col min="3845" max="4096" width="15.625" style="86"/>
    <col min="4097" max="4097" width="4.625" style="86" customWidth="1"/>
    <col min="4098" max="4098" width="29.25" style="86" customWidth="1"/>
    <col min="4099" max="4099" width="13" style="86" customWidth="1"/>
    <col min="4100" max="4100" width="20" style="86" customWidth="1"/>
    <col min="4101" max="4352" width="15.625" style="86"/>
    <col min="4353" max="4353" width="4.625" style="86" customWidth="1"/>
    <col min="4354" max="4354" width="29.25" style="86" customWidth="1"/>
    <col min="4355" max="4355" width="13" style="86" customWidth="1"/>
    <col min="4356" max="4356" width="20" style="86" customWidth="1"/>
    <col min="4357" max="4608" width="15.625" style="86"/>
    <col min="4609" max="4609" width="4.625" style="86" customWidth="1"/>
    <col min="4610" max="4610" width="29.25" style="86" customWidth="1"/>
    <col min="4611" max="4611" width="13" style="86" customWidth="1"/>
    <col min="4612" max="4612" width="20" style="86" customWidth="1"/>
    <col min="4613" max="4864" width="15.625" style="86"/>
    <col min="4865" max="4865" width="4.625" style="86" customWidth="1"/>
    <col min="4866" max="4866" width="29.25" style="86" customWidth="1"/>
    <col min="4867" max="4867" width="13" style="86" customWidth="1"/>
    <col min="4868" max="4868" width="20" style="86" customWidth="1"/>
    <col min="4869" max="5120" width="15.625" style="86"/>
    <col min="5121" max="5121" width="4.625" style="86" customWidth="1"/>
    <col min="5122" max="5122" width="29.25" style="86" customWidth="1"/>
    <col min="5123" max="5123" width="13" style="86" customWidth="1"/>
    <col min="5124" max="5124" width="20" style="86" customWidth="1"/>
    <col min="5125" max="5376" width="15.625" style="86"/>
    <col min="5377" max="5377" width="4.625" style="86" customWidth="1"/>
    <col min="5378" max="5378" width="29.25" style="86" customWidth="1"/>
    <col min="5379" max="5379" width="13" style="86" customWidth="1"/>
    <col min="5380" max="5380" width="20" style="86" customWidth="1"/>
    <col min="5381" max="5632" width="15.625" style="86"/>
    <col min="5633" max="5633" width="4.625" style="86" customWidth="1"/>
    <col min="5634" max="5634" width="29.25" style="86" customWidth="1"/>
    <col min="5635" max="5635" width="13" style="86" customWidth="1"/>
    <col min="5636" max="5636" width="20" style="86" customWidth="1"/>
    <col min="5637" max="5888" width="15.625" style="86"/>
    <col min="5889" max="5889" width="4.625" style="86" customWidth="1"/>
    <col min="5890" max="5890" width="29.25" style="86" customWidth="1"/>
    <col min="5891" max="5891" width="13" style="86" customWidth="1"/>
    <col min="5892" max="5892" width="20" style="86" customWidth="1"/>
    <col min="5893" max="6144" width="15.625" style="86"/>
    <col min="6145" max="6145" width="4.625" style="86" customWidth="1"/>
    <col min="6146" max="6146" width="29.25" style="86" customWidth="1"/>
    <col min="6147" max="6147" width="13" style="86" customWidth="1"/>
    <col min="6148" max="6148" width="20" style="86" customWidth="1"/>
    <col min="6149" max="6400" width="15.625" style="86"/>
    <col min="6401" max="6401" width="4.625" style="86" customWidth="1"/>
    <col min="6402" max="6402" width="29.25" style="86" customWidth="1"/>
    <col min="6403" max="6403" width="13" style="86" customWidth="1"/>
    <col min="6404" max="6404" width="20" style="86" customWidth="1"/>
    <col min="6405" max="6656" width="15.625" style="86"/>
    <col min="6657" max="6657" width="4.625" style="86" customWidth="1"/>
    <col min="6658" max="6658" width="29.25" style="86" customWidth="1"/>
    <col min="6659" max="6659" width="13" style="86" customWidth="1"/>
    <col min="6660" max="6660" width="20" style="86" customWidth="1"/>
    <col min="6661" max="6912" width="15.625" style="86"/>
    <col min="6913" max="6913" width="4.625" style="86" customWidth="1"/>
    <col min="6914" max="6914" width="29.25" style="86" customWidth="1"/>
    <col min="6915" max="6915" width="13" style="86" customWidth="1"/>
    <col min="6916" max="6916" width="20" style="86" customWidth="1"/>
    <col min="6917" max="7168" width="15.625" style="86"/>
    <col min="7169" max="7169" width="4.625" style="86" customWidth="1"/>
    <col min="7170" max="7170" width="29.25" style="86" customWidth="1"/>
    <col min="7171" max="7171" width="13" style="86" customWidth="1"/>
    <col min="7172" max="7172" width="20" style="86" customWidth="1"/>
    <col min="7173" max="7424" width="15.625" style="86"/>
    <col min="7425" max="7425" width="4.625" style="86" customWidth="1"/>
    <col min="7426" max="7426" width="29.25" style="86" customWidth="1"/>
    <col min="7427" max="7427" width="13" style="86" customWidth="1"/>
    <col min="7428" max="7428" width="20" style="86" customWidth="1"/>
    <col min="7429" max="7680" width="15.625" style="86"/>
    <col min="7681" max="7681" width="4.625" style="86" customWidth="1"/>
    <col min="7682" max="7682" width="29.25" style="86" customWidth="1"/>
    <col min="7683" max="7683" width="13" style="86" customWidth="1"/>
    <col min="7684" max="7684" width="20" style="86" customWidth="1"/>
    <col min="7685" max="7936" width="15.625" style="86"/>
    <col min="7937" max="7937" width="4.625" style="86" customWidth="1"/>
    <col min="7938" max="7938" width="29.25" style="86" customWidth="1"/>
    <col min="7939" max="7939" width="13" style="86" customWidth="1"/>
    <col min="7940" max="7940" width="20" style="86" customWidth="1"/>
    <col min="7941" max="8192" width="15.625" style="86"/>
    <col min="8193" max="8193" width="4.625" style="86" customWidth="1"/>
    <col min="8194" max="8194" width="29.25" style="86" customWidth="1"/>
    <col min="8195" max="8195" width="13" style="86" customWidth="1"/>
    <col min="8196" max="8196" width="20" style="86" customWidth="1"/>
    <col min="8197" max="8448" width="15.625" style="86"/>
    <col min="8449" max="8449" width="4.625" style="86" customWidth="1"/>
    <col min="8450" max="8450" width="29.25" style="86" customWidth="1"/>
    <col min="8451" max="8451" width="13" style="86" customWidth="1"/>
    <col min="8452" max="8452" width="20" style="86" customWidth="1"/>
    <col min="8453" max="8704" width="15.625" style="86"/>
    <col min="8705" max="8705" width="4.625" style="86" customWidth="1"/>
    <col min="8706" max="8706" width="29.25" style="86" customWidth="1"/>
    <col min="8707" max="8707" width="13" style="86" customWidth="1"/>
    <col min="8708" max="8708" width="20" style="86" customWidth="1"/>
    <col min="8709" max="8960" width="15.625" style="86"/>
    <col min="8961" max="8961" width="4.625" style="86" customWidth="1"/>
    <col min="8962" max="8962" width="29.25" style="86" customWidth="1"/>
    <col min="8963" max="8963" width="13" style="86" customWidth="1"/>
    <col min="8964" max="8964" width="20" style="86" customWidth="1"/>
    <col min="8965" max="9216" width="15.625" style="86"/>
    <col min="9217" max="9217" width="4.625" style="86" customWidth="1"/>
    <col min="9218" max="9218" width="29.25" style="86" customWidth="1"/>
    <col min="9219" max="9219" width="13" style="86" customWidth="1"/>
    <col min="9220" max="9220" width="20" style="86" customWidth="1"/>
    <col min="9221" max="9472" width="15.625" style="86"/>
    <col min="9473" max="9473" width="4.625" style="86" customWidth="1"/>
    <col min="9474" max="9474" width="29.25" style="86" customWidth="1"/>
    <col min="9475" max="9475" width="13" style="86" customWidth="1"/>
    <col min="9476" max="9476" width="20" style="86" customWidth="1"/>
    <col min="9477" max="9728" width="15.625" style="86"/>
    <col min="9729" max="9729" width="4.625" style="86" customWidth="1"/>
    <col min="9730" max="9730" width="29.25" style="86" customWidth="1"/>
    <col min="9731" max="9731" width="13" style="86" customWidth="1"/>
    <col min="9732" max="9732" width="20" style="86" customWidth="1"/>
    <col min="9733" max="9984" width="15.625" style="86"/>
    <col min="9985" max="9985" width="4.625" style="86" customWidth="1"/>
    <col min="9986" max="9986" width="29.25" style="86" customWidth="1"/>
    <col min="9987" max="9987" width="13" style="86" customWidth="1"/>
    <col min="9988" max="9988" width="20" style="86" customWidth="1"/>
    <col min="9989" max="10240" width="15.625" style="86"/>
    <col min="10241" max="10241" width="4.625" style="86" customWidth="1"/>
    <col min="10242" max="10242" width="29.25" style="86" customWidth="1"/>
    <col min="10243" max="10243" width="13" style="86" customWidth="1"/>
    <col min="10244" max="10244" width="20" style="86" customWidth="1"/>
    <col min="10245" max="10496" width="15.625" style="86"/>
    <col min="10497" max="10497" width="4.625" style="86" customWidth="1"/>
    <col min="10498" max="10498" width="29.25" style="86" customWidth="1"/>
    <col min="10499" max="10499" width="13" style="86" customWidth="1"/>
    <col min="10500" max="10500" width="20" style="86" customWidth="1"/>
    <col min="10501" max="10752" width="15.625" style="86"/>
    <col min="10753" max="10753" width="4.625" style="86" customWidth="1"/>
    <col min="10754" max="10754" width="29.25" style="86" customWidth="1"/>
    <col min="10755" max="10755" width="13" style="86" customWidth="1"/>
    <col min="10756" max="10756" width="20" style="86" customWidth="1"/>
    <col min="10757" max="11008" width="15.625" style="86"/>
    <col min="11009" max="11009" width="4.625" style="86" customWidth="1"/>
    <col min="11010" max="11010" width="29.25" style="86" customWidth="1"/>
    <col min="11011" max="11011" width="13" style="86" customWidth="1"/>
    <col min="11012" max="11012" width="20" style="86" customWidth="1"/>
    <col min="11013" max="11264" width="15.625" style="86"/>
    <col min="11265" max="11265" width="4.625" style="86" customWidth="1"/>
    <col min="11266" max="11266" width="29.25" style="86" customWidth="1"/>
    <col min="11267" max="11267" width="13" style="86" customWidth="1"/>
    <col min="11268" max="11268" width="20" style="86" customWidth="1"/>
    <col min="11269" max="11520" width="15.625" style="86"/>
    <col min="11521" max="11521" width="4.625" style="86" customWidth="1"/>
    <col min="11522" max="11522" width="29.25" style="86" customWidth="1"/>
    <col min="11523" max="11523" width="13" style="86" customWidth="1"/>
    <col min="11524" max="11524" width="20" style="86" customWidth="1"/>
    <col min="11525" max="11776" width="15.625" style="86"/>
    <col min="11777" max="11777" width="4.625" style="86" customWidth="1"/>
    <col min="11778" max="11778" width="29.25" style="86" customWidth="1"/>
    <col min="11779" max="11779" width="13" style="86" customWidth="1"/>
    <col min="11780" max="11780" width="20" style="86" customWidth="1"/>
    <col min="11781" max="12032" width="15.625" style="86"/>
    <col min="12033" max="12033" width="4.625" style="86" customWidth="1"/>
    <col min="12034" max="12034" width="29.25" style="86" customWidth="1"/>
    <col min="12035" max="12035" width="13" style="86" customWidth="1"/>
    <col min="12036" max="12036" width="20" style="86" customWidth="1"/>
    <col min="12037" max="12288" width="15.625" style="86"/>
    <col min="12289" max="12289" width="4.625" style="86" customWidth="1"/>
    <col min="12290" max="12290" width="29.25" style="86" customWidth="1"/>
    <col min="12291" max="12291" width="13" style="86" customWidth="1"/>
    <col min="12292" max="12292" width="20" style="86" customWidth="1"/>
    <col min="12293" max="12544" width="15.625" style="86"/>
    <col min="12545" max="12545" width="4.625" style="86" customWidth="1"/>
    <col min="12546" max="12546" width="29.25" style="86" customWidth="1"/>
    <col min="12547" max="12547" width="13" style="86" customWidth="1"/>
    <col min="12548" max="12548" width="20" style="86" customWidth="1"/>
    <col min="12549" max="12800" width="15.625" style="86"/>
    <col min="12801" max="12801" width="4.625" style="86" customWidth="1"/>
    <col min="12802" max="12802" width="29.25" style="86" customWidth="1"/>
    <col min="12803" max="12803" width="13" style="86" customWidth="1"/>
    <col min="12804" max="12804" width="20" style="86" customWidth="1"/>
    <col min="12805" max="13056" width="15.625" style="86"/>
    <col min="13057" max="13057" width="4.625" style="86" customWidth="1"/>
    <col min="13058" max="13058" width="29.25" style="86" customWidth="1"/>
    <col min="13059" max="13059" width="13" style="86" customWidth="1"/>
    <col min="13060" max="13060" width="20" style="86" customWidth="1"/>
    <col min="13061" max="13312" width="15.625" style="86"/>
    <col min="13313" max="13313" width="4.625" style="86" customWidth="1"/>
    <col min="13314" max="13314" width="29.25" style="86" customWidth="1"/>
    <col min="13315" max="13315" width="13" style="86" customWidth="1"/>
    <col min="13316" max="13316" width="20" style="86" customWidth="1"/>
    <col min="13317" max="13568" width="15.625" style="86"/>
    <col min="13569" max="13569" width="4.625" style="86" customWidth="1"/>
    <col min="13570" max="13570" width="29.25" style="86" customWidth="1"/>
    <col min="13571" max="13571" width="13" style="86" customWidth="1"/>
    <col min="13572" max="13572" width="20" style="86" customWidth="1"/>
    <col min="13573" max="13824" width="15.625" style="86"/>
    <col min="13825" max="13825" width="4.625" style="86" customWidth="1"/>
    <col min="13826" max="13826" width="29.25" style="86" customWidth="1"/>
    <col min="13827" max="13827" width="13" style="86" customWidth="1"/>
    <col min="13828" max="13828" width="20" style="86" customWidth="1"/>
    <col min="13829" max="14080" width="15.625" style="86"/>
    <col min="14081" max="14081" width="4.625" style="86" customWidth="1"/>
    <col min="14082" max="14082" width="29.25" style="86" customWidth="1"/>
    <col min="14083" max="14083" width="13" style="86" customWidth="1"/>
    <col min="14084" max="14084" width="20" style="86" customWidth="1"/>
    <col min="14085" max="14336" width="15.625" style="86"/>
    <col min="14337" max="14337" width="4.625" style="86" customWidth="1"/>
    <col min="14338" max="14338" width="29.25" style="86" customWidth="1"/>
    <col min="14339" max="14339" width="13" style="86" customWidth="1"/>
    <col min="14340" max="14340" width="20" style="86" customWidth="1"/>
    <col min="14341" max="14592" width="15.625" style="86"/>
    <col min="14593" max="14593" width="4.625" style="86" customWidth="1"/>
    <col min="14594" max="14594" width="29.25" style="86" customWidth="1"/>
    <col min="14595" max="14595" width="13" style="86" customWidth="1"/>
    <col min="14596" max="14596" width="20" style="86" customWidth="1"/>
    <col min="14597" max="14848" width="15.625" style="86"/>
    <col min="14849" max="14849" width="4.625" style="86" customWidth="1"/>
    <col min="14850" max="14850" width="29.25" style="86" customWidth="1"/>
    <col min="14851" max="14851" width="13" style="86" customWidth="1"/>
    <col min="14852" max="14852" width="20" style="86" customWidth="1"/>
    <col min="14853" max="15104" width="15.625" style="86"/>
    <col min="15105" max="15105" width="4.625" style="86" customWidth="1"/>
    <col min="15106" max="15106" width="29.25" style="86" customWidth="1"/>
    <col min="15107" max="15107" width="13" style="86" customWidth="1"/>
    <col min="15108" max="15108" width="20" style="86" customWidth="1"/>
    <col min="15109" max="15360" width="15.625" style="86"/>
    <col min="15361" max="15361" width="4.625" style="86" customWidth="1"/>
    <col min="15362" max="15362" width="29.25" style="86" customWidth="1"/>
    <col min="15363" max="15363" width="13" style="86" customWidth="1"/>
    <col min="15364" max="15364" width="20" style="86" customWidth="1"/>
    <col min="15365" max="15616" width="15.625" style="86"/>
    <col min="15617" max="15617" width="4.625" style="86" customWidth="1"/>
    <col min="15618" max="15618" width="29.25" style="86" customWidth="1"/>
    <col min="15619" max="15619" width="13" style="86" customWidth="1"/>
    <col min="15620" max="15620" width="20" style="86" customWidth="1"/>
    <col min="15621" max="15872" width="15.625" style="86"/>
    <col min="15873" max="15873" width="4.625" style="86" customWidth="1"/>
    <col min="15874" max="15874" width="29.25" style="86" customWidth="1"/>
    <col min="15875" max="15875" width="13" style="86" customWidth="1"/>
    <col min="15876" max="15876" width="20" style="86" customWidth="1"/>
    <col min="15877" max="16128" width="15.625" style="86"/>
    <col min="16129" max="16129" width="4.625" style="86" customWidth="1"/>
    <col min="16130" max="16130" width="29.25" style="86" customWidth="1"/>
    <col min="16131" max="16131" width="13" style="86" customWidth="1"/>
    <col min="16132" max="16132" width="20" style="86" customWidth="1"/>
    <col min="16133" max="16384" width="15.625" style="86"/>
  </cols>
  <sheetData>
    <row r="1" spans="1:13" ht="25.5">
      <c r="A1" s="345" t="s">
        <v>0</v>
      </c>
      <c r="B1" s="346"/>
      <c r="C1" s="346"/>
      <c r="D1" s="346"/>
      <c r="E1" s="346"/>
      <c r="F1" s="346"/>
      <c r="G1" s="346"/>
      <c r="H1" s="346"/>
      <c r="I1" s="346"/>
      <c r="J1" s="346"/>
      <c r="K1" s="346"/>
      <c r="L1" s="346"/>
      <c r="M1" s="346"/>
    </row>
    <row r="2" spans="1:13" ht="30" customHeight="1">
      <c r="A2" s="87" t="s">
        <v>1</v>
      </c>
      <c r="B2" s="87" t="s">
        <v>2</v>
      </c>
      <c r="C2" s="87" t="s">
        <v>3</v>
      </c>
      <c r="D2" s="88" t="s">
        <v>4</v>
      </c>
      <c r="E2" s="88" t="s">
        <v>328</v>
      </c>
      <c r="F2" s="88" t="s">
        <v>329</v>
      </c>
      <c r="G2" s="88" t="s">
        <v>330</v>
      </c>
      <c r="H2" s="88" t="s">
        <v>331</v>
      </c>
      <c r="I2" s="88" t="s">
        <v>332</v>
      </c>
      <c r="J2" s="88" t="s">
        <v>333</v>
      </c>
      <c r="K2" s="88" t="s">
        <v>334</v>
      </c>
      <c r="L2" s="88" t="s">
        <v>24</v>
      </c>
      <c r="M2" s="89" t="s">
        <v>25</v>
      </c>
    </row>
    <row r="3" spans="1:13">
      <c r="A3" s="90" t="s">
        <v>26</v>
      </c>
      <c r="B3" s="91" t="s">
        <v>27</v>
      </c>
      <c r="C3" s="91"/>
      <c r="D3" s="92" t="s">
        <v>28</v>
      </c>
      <c r="E3" s="19">
        <f t="shared" ref="E3:K3" si="0">E4+E30+E49</f>
        <v>33586065.859999999</v>
      </c>
      <c r="F3" s="19">
        <f t="shared" si="0"/>
        <v>28133770.010000005</v>
      </c>
      <c r="G3" s="19">
        <f t="shared" si="0"/>
        <v>13437116.970000003</v>
      </c>
      <c r="H3" s="19">
        <f t="shared" si="0"/>
        <v>6226551.1099999994</v>
      </c>
      <c r="I3" s="19">
        <f t="shared" si="0"/>
        <v>11842145.690000001</v>
      </c>
      <c r="J3" s="19">
        <f t="shared" si="0"/>
        <v>17522195.940000001</v>
      </c>
      <c r="K3" s="19">
        <f t="shared" si="0"/>
        <v>2105320.39</v>
      </c>
      <c r="L3" s="19">
        <f t="shared" ref="L3:L9" si="1">SUM(E3:K3)</f>
        <v>112853165.97</v>
      </c>
      <c r="M3" s="93"/>
    </row>
    <row r="4" spans="1:13">
      <c r="A4" s="90" t="s">
        <v>29</v>
      </c>
      <c r="B4" s="91" t="s">
        <v>30</v>
      </c>
      <c r="C4" s="91"/>
      <c r="D4" s="92" t="s">
        <v>28</v>
      </c>
      <c r="E4" s="19">
        <f t="shared" ref="E4:K4" si="2">E5+E8+E12+E15+E18+E20+E23+E25+E27+E28+E29</f>
        <v>29501140.84</v>
      </c>
      <c r="F4" s="19">
        <f t="shared" si="2"/>
        <v>23962058.050000004</v>
      </c>
      <c r="G4" s="19">
        <f t="shared" si="2"/>
        <v>10804478.400000002</v>
      </c>
      <c r="H4" s="19">
        <f t="shared" si="2"/>
        <v>5136442.1099999994</v>
      </c>
      <c r="I4" s="19">
        <f t="shared" si="2"/>
        <v>10386064.48</v>
      </c>
      <c r="J4" s="19">
        <f t="shared" si="2"/>
        <v>14836952.6</v>
      </c>
      <c r="K4" s="19">
        <f t="shared" si="2"/>
        <v>1843023.59</v>
      </c>
      <c r="L4" s="19">
        <f t="shared" si="1"/>
        <v>96470160.070000008</v>
      </c>
      <c r="M4" s="93"/>
    </row>
    <row r="5" spans="1:13">
      <c r="A5" s="90" t="s">
        <v>31</v>
      </c>
      <c r="B5" s="91" t="s">
        <v>32</v>
      </c>
      <c r="C5" s="91"/>
      <c r="D5" s="92" t="s">
        <v>28</v>
      </c>
      <c r="E5" s="19">
        <f t="shared" ref="E5:K5" si="3">E6+E7</f>
        <v>4066857</v>
      </c>
      <c r="F5" s="19">
        <f t="shared" si="3"/>
        <v>3473972.5</v>
      </c>
      <c r="G5" s="19">
        <f t="shared" si="3"/>
        <v>1258736</v>
      </c>
      <c r="H5" s="19">
        <f t="shared" si="3"/>
        <v>751200</v>
      </c>
      <c r="I5" s="19">
        <f t="shared" si="3"/>
        <v>1387113</v>
      </c>
      <c r="J5" s="19">
        <f t="shared" si="3"/>
        <v>1600000</v>
      </c>
      <c r="K5" s="19">
        <f t="shared" si="3"/>
        <v>263388</v>
      </c>
      <c r="L5" s="19">
        <f t="shared" si="1"/>
        <v>12801266.5</v>
      </c>
      <c r="M5" s="93"/>
    </row>
    <row r="6" spans="1:13">
      <c r="A6" s="90" t="s">
        <v>33</v>
      </c>
      <c r="B6" s="91" t="s">
        <v>34</v>
      </c>
      <c r="C6" s="91" t="s">
        <v>35</v>
      </c>
      <c r="D6" s="92" t="s">
        <v>36</v>
      </c>
      <c r="E6" s="22">
        <v>2239688</v>
      </c>
      <c r="F6" s="22">
        <v>1857003.8</v>
      </c>
      <c r="G6" s="22">
        <v>829600</v>
      </c>
      <c r="H6" s="22">
        <f>34600*12</f>
        <v>415200</v>
      </c>
      <c r="I6" s="22">
        <v>861353</v>
      </c>
      <c r="J6" s="22">
        <v>1050000</v>
      </c>
      <c r="K6" s="22">
        <v>132660</v>
      </c>
      <c r="L6" s="19">
        <f t="shared" si="1"/>
        <v>7385504.7999999998</v>
      </c>
      <c r="M6" s="94"/>
    </row>
    <row r="7" spans="1:13">
      <c r="A7" s="90" t="s">
        <v>37</v>
      </c>
      <c r="B7" s="91" t="s">
        <v>38</v>
      </c>
      <c r="C7" s="91" t="s">
        <v>35</v>
      </c>
      <c r="D7" s="92" t="s">
        <v>36</v>
      </c>
      <c r="E7" s="22">
        <v>1827169</v>
      </c>
      <c r="F7" s="22">
        <v>1616968.7</v>
      </c>
      <c r="G7" s="22">
        <v>429136</v>
      </c>
      <c r="H7" s="22">
        <f>28000*12</f>
        <v>336000</v>
      </c>
      <c r="I7" s="22">
        <v>525760</v>
      </c>
      <c r="J7" s="22">
        <v>550000</v>
      </c>
      <c r="K7" s="22">
        <v>130728</v>
      </c>
      <c r="L7" s="19">
        <f t="shared" si="1"/>
        <v>5415761.7000000002</v>
      </c>
      <c r="M7" s="93"/>
    </row>
    <row r="8" spans="1:13">
      <c r="A8" s="90" t="s">
        <v>39</v>
      </c>
      <c r="B8" s="91" t="s">
        <v>40</v>
      </c>
      <c r="C8" s="91"/>
      <c r="D8" s="92" t="s">
        <v>28</v>
      </c>
      <c r="E8" s="19">
        <f t="shared" ref="E8:K8" si="4">E9+E10</f>
        <v>428952</v>
      </c>
      <c r="F8" s="19">
        <f t="shared" si="4"/>
        <v>364740</v>
      </c>
      <c r="G8" s="19">
        <f t="shared" si="4"/>
        <v>173960</v>
      </c>
      <c r="H8" s="19">
        <f t="shared" si="4"/>
        <v>91680</v>
      </c>
      <c r="I8" s="19">
        <f t="shared" si="4"/>
        <v>176328</v>
      </c>
      <c r="J8" s="19">
        <f t="shared" si="4"/>
        <v>266100</v>
      </c>
      <c r="K8" s="19">
        <f t="shared" si="4"/>
        <v>26820</v>
      </c>
      <c r="L8" s="19">
        <f t="shared" si="1"/>
        <v>1528580</v>
      </c>
      <c r="M8" s="93"/>
    </row>
    <row r="9" spans="1:13">
      <c r="A9" s="90" t="s">
        <v>41</v>
      </c>
      <c r="B9" s="91" t="s">
        <v>42</v>
      </c>
      <c r="C9" s="91" t="s">
        <v>35</v>
      </c>
      <c r="D9" s="92" t="s">
        <v>36</v>
      </c>
      <c r="E9" s="22">
        <v>6552</v>
      </c>
      <c r="F9" s="22">
        <v>5700</v>
      </c>
      <c r="G9" s="22">
        <v>5000</v>
      </c>
      <c r="H9" s="22">
        <f>600*12</f>
        <v>7200</v>
      </c>
      <c r="I9" s="22">
        <v>2088</v>
      </c>
      <c r="J9" s="22">
        <v>2100</v>
      </c>
      <c r="K9" s="22">
        <v>420</v>
      </c>
      <c r="L9" s="19">
        <f t="shared" si="1"/>
        <v>29060</v>
      </c>
      <c r="M9" s="93"/>
    </row>
    <row r="10" spans="1:13">
      <c r="A10" s="90" t="s">
        <v>43</v>
      </c>
      <c r="B10" s="91" t="s">
        <v>44</v>
      </c>
      <c r="C10" s="91"/>
      <c r="D10" s="92" t="s">
        <v>28</v>
      </c>
      <c r="E10" s="19">
        <f>E11</f>
        <v>422400</v>
      </c>
      <c r="F10" s="19">
        <f t="shared" ref="F10:L10" si="5">F11</f>
        <v>359040</v>
      </c>
      <c r="G10" s="19">
        <f t="shared" si="5"/>
        <v>168960</v>
      </c>
      <c r="H10" s="19">
        <f t="shared" si="5"/>
        <v>84480</v>
      </c>
      <c r="I10" s="19">
        <f t="shared" si="5"/>
        <v>174240</v>
      </c>
      <c r="J10" s="19">
        <f t="shared" si="5"/>
        <v>264000</v>
      </c>
      <c r="K10" s="19">
        <f t="shared" si="5"/>
        <v>26400</v>
      </c>
      <c r="L10" s="19">
        <f t="shared" si="5"/>
        <v>1499520</v>
      </c>
      <c r="M10" s="93"/>
    </row>
    <row r="11" spans="1:13" s="96" customFormat="1">
      <c r="A11" s="90" t="s">
        <v>45</v>
      </c>
      <c r="B11" s="95" t="s">
        <v>46</v>
      </c>
      <c r="C11" s="95" t="s">
        <v>35</v>
      </c>
      <c r="D11" s="93" t="s">
        <v>28</v>
      </c>
      <c r="E11" s="19">
        <f>440*12*E93</f>
        <v>422400</v>
      </c>
      <c r="F11" s="19">
        <f t="shared" ref="F11:K11" si="6">440*12*F93</f>
        <v>359040</v>
      </c>
      <c r="G11" s="19">
        <f t="shared" si="6"/>
        <v>168960</v>
      </c>
      <c r="H11" s="19">
        <f t="shared" si="6"/>
        <v>84480</v>
      </c>
      <c r="I11" s="19">
        <f t="shared" si="6"/>
        <v>174240</v>
      </c>
      <c r="J11" s="19">
        <f t="shared" si="6"/>
        <v>264000</v>
      </c>
      <c r="K11" s="19">
        <f t="shared" si="6"/>
        <v>26400</v>
      </c>
      <c r="L11" s="19">
        <f t="shared" ref="L11:L26" si="7">SUM(E11:K11)</f>
        <v>1499520</v>
      </c>
      <c r="M11" s="93"/>
    </row>
    <row r="12" spans="1:13">
      <c r="A12" s="90" t="s">
        <v>47</v>
      </c>
      <c r="B12" s="91" t="s">
        <v>48</v>
      </c>
      <c r="C12" s="91"/>
      <c r="D12" s="92" t="s">
        <v>49</v>
      </c>
      <c r="E12" s="19">
        <f>E13+E14</f>
        <v>150711.84</v>
      </c>
      <c r="F12" s="19">
        <f t="shared" ref="F12:K12" si="8">F13+F14</f>
        <v>109617.14</v>
      </c>
      <c r="G12" s="19">
        <f t="shared" si="8"/>
        <v>49982.399999999994</v>
      </c>
      <c r="H12" s="19">
        <f t="shared" si="8"/>
        <v>22946.11</v>
      </c>
      <c r="I12" s="19">
        <f t="shared" si="8"/>
        <v>46789.49</v>
      </c>
      <c r="J12" s="19">
        <f t="shared" si="8"/>
        <v>64408.61</v>
      </c>
      <c r="K12" s="19">
        <f t="shared" si="8"/>
        <v>9713.39</v>
      </c>
      <c r="L12" s="19">
        <f t="shared" si="7"/>
        <v>454168.98</v>
      </c>
      <c r="M12" s="93"/>
    </row>
    <row r="13" spans="1:13" s="96" customFormat="1">
      <c r="A13" s="90" t="s">
        <v>50</v>
      </c>
      <c r="B13" s="132" t="s">
        <v>584</v>
      </c>
      <c r="C13" s="95" t="s">
        <v>35</v>
      </c>
      <c r="D13" s="93" t="s">
        <v>51</v>
      </c>
      <c r="E13" s="19">
        <f t="shared" ref="E13:K13" si="9">ROUND(E28/0.07*0.00256,2)</f>
        <v>51034.7</v>
      </c>
      <c r="F13" s="19">
        <f t="shared" si="9"/>
        <v>37119.03</v>
      </c>
      <c r="G13" s="19">
        <f t="shared" si="9"/>
        <v>16925.259999999998</v>
      </c>
      <c r="H13" s="19">
        <f t="shared" si="9"/>
        <v>7770.11</v>
      </c>
      <c r="I13" s="19">
        <f t="shared" si="9"/>
        <v>15844.06</v>
      </c>
      <c r="J13" s="19">
        <f t="shared" si="9"/>
        <v>21810.32</v>
      </c>
      <c r="K13" s="19">
        <f t="shared" si="9"/>
        <v>3289.19</v>
      </c>
      <c r="L13" s="19">
        <f t="shared" si="7"/>
        <v>153792.66999999998</v>
      </c>
      <c r="M13" s="93"/>
    </row>
    <row r="14" spans="1:13" s="96" customFormat="1">
      <c r="A14" s="90" t="s">
        <v>52</v>
      </c>
      <c r="B14" s="132" t="s">
        <v>585</v>
      </c>
      <c r="C14" s="95" t="s">
        <v>35</v>
      </c>
      <c r="D14" s="93" t="s">
        <v>51</v>
      </c>
      <c r="E14" s="19">
        <f t="shared" ref="E14:K14" si="10">ROUND(E28/0.07*0.005,2)</f>
        <v>99677.14</v>
      </c>
      <c r="F14" s="19">
        <f t="shared" si="10"/>
        <v>72498.11</v>
      </c>
      <c r="G14" s="19">
        <f t="shared" si="10"/>
        <v>33057.14</v>
      </c>
      <c r="H14" s="19">
        <f t="shared" si="10"/>
        <v>15176</v>
      </c>
      <c r="I14" s="19">
        <f t="shared" si="10"/>
        <v>30945.43</v>
      </c>
      <c r="J14" s="19">
        <f t="shared" si="10"/>
        <v>42598.29</v>
      </c>
      <c r="K14" s="19">
        <f t="shared" si="10"/>
        <v>6424.2</v>
      </c>
      <c r="L14" s="19">
        <f t="shared" si="7"/>
        <v>300376.31</v>
      </c>
      <c r="M14" s="93"/>
    </row>
    <row r="15" spans="1:13">
      <c r="A15" s="90" t="s">
        <v>53</v>
      </c>
      <c r="B15" s="91" t="s">
        <v>55</v>
      </c>
      <c r="C15" s="91"/>
      <c r="D15" s="92" t="s">
        <v>28</v>
      </c>
      <c r="E15" s="19">
        <v>15304000</v>
      </c>
      <c r="F15" s="19">
        <v>13008400</v>
      </c>
      <c r="G15" s="19">
        <v>6121600</v>
      </c>
      <c r="H15" s="19">
        <v>2793600</v>
      </c>
      <c r="I15" s="19">
        <v>5761800</v>
      </c>
      <c r="J15" s="19">
        <v>8730000</v>
      </c>
      <c r="K15" s="169">
        <v>928500</v>
      </c>
      <c r="L15" s="19">
        <f t="shared" si="7"/>
        <v>52647900</v>
      </c>
      <c r="M15" s="93"/>
    </row>
    <row r="16" spans="1:13" ht="22.5">
      <c r="A16" s="90" t="s">
        <v>54</v>
      </c>
      <c r="B16" s="97" t="s">
        <v>57</v>
      </c>
      <c r="C16" s="97" t="s">
        <v>35</v>
      </c>
      <c r="D16" s="98" t="s">
        <v>58</v>
      </c>
      <c r="E16" s="99">
        <f>E15-E17</f>
        <v>14805148</v>
      </c>
      <c r="F16" s="99">
        <f t="shared" ref="F16:K16" si="11">F15-F17</f>
        <v>12485132.800000001</v>
      </c>
      <c r="G16" s="99">
        <f t="shared" si="11"/>
        <v>5950008</v>
      </c>
      <c r="H16" s="99">
        <f t="shared" si="11"/>
        <v>2793600</v>
      </c>
      <c r="I16" s="99">
        <f t="shared" si="11"/>
        <v>5538884</v>
      </c>
      <c r="J16" s="99">
        <f t="shared" si="11"/>
        <v>8500000</v>
      </c>
      <c r="K16" s="99">
        <f t="shared" si="11"/>
        <v>928500</v>
      </c>
      <c r="L16" s="19">
        <f t="shared" si="7"/>
        <v>51001272.799999997</v>
      </c>
      <c r="M16" s="98"/>
    </row>
    <row r="17" spans="1:13">
      <c r="A17" s="90" t="s">
        <v>56</v>
      </c>
      <c r="B17" s="97" t="s">
        <v>60</v>
      </c>
      <c r="C17" s="97" t="s">
        <v>35</v>
      </c>
      <c r="D17" s="98" t="s">
        <v>61</v>
      </c>
      <c r="E17" s="99">
        <v>498852</v>
      </c>
      <c r="F17" s="99">
        <v>523267.2</v>
      </c>
      <c r="G17" s="99">
        <v>171592</v>
      </c>
      <c r="H17" s="99"/>
      <c r="I17" s="99">
        <v>222916</v>
      </c>
      <c r="J17" s="99">
        <v>230000</v>
      </c>
      <c r="K17" s="99"/>
      <c r="L17" s="19">
        <f t="shared" si="7"/>
        <v>1646627.2</v>
      </c>
      <c r="M17" s="98"/>
    </row>
    <row r="18" spans="1:13">
      <c r="A18" s="90" t="s">
        <v>59</v>
      </c>
      <c r="B18" s="91" t="s">
        <v>63</v>
      </c>
      <c r="C18" s="91"/>
      <c r="D18" s="98" t="s">
        <v>28</v>
      </c>
      <c r="E18" s="100">
        <f t="shared" ref="E18:K18" si="12">E19</f>
        <v>2093220</v>
      </c>
      <c r="F18" s="100">
        <f t="shared" si="12"/>
        <v>1522460.4</v>
      </c>
      <c r="G18" s="100">
        <f t="shared" si="12"/>
        <v>694200</v>
      </c>
      <c r="H18" s="100">
        <f t="shared" si="12"/>
        <v>318696</v>
      </c>
      <c r="I18" s="100">
        <f t="shared" si="12"/>
        <v>649854</v>
      </c>
      <c r="J18" s="100">
        <f t="shared" si="12"/>
        <v>894564</v>
      </c>
      <c r="K18" s="100">
        <f t="shared" si="12"/>
        <v>134908.20000000001</v>
      </c>
      <c r="L18" s="19">
        <f t="shared" si="7"/>
        <v>6307902.6000000006</v>
      </c>
      <c r="M18" s="98"/>
    </row>
    <row r="19" spans="1:13">
      <c r="A19" s="90" t="s">
        <v>62</v>
      </c>
      <c r="B19" s="91" t="s">
        <v>65</v>
      </c>
      <c r="C19" s="91" t="s">
        <v>66</v>
      </c>
      <c r="D19" s="98" t="s">
        <v>28</v>
      </c>
      <c r="E19" s="100">
        <f t="shared" ref="E19:K19" si="13">ROUND(E28/0.07*0.105,2)</f>
        <v>2093220</v>
      </c>
      <c r="F19" s="100">
        <f t="shared" si="13"/>
        <v>1522460.4</v>
      </c>
      <c r="G19" s="100">
        <f t="shared" si="13"/>
        <v>694200</v>
      </c>
      <c r="H19" s="100">
        <f t="shared" si="13"/>
        <v>318696</v>
      </c>
      <c r="I19" s="100">
        <f t="shared" si="13"/>
        <v>649854</v>
      </c>
      <c r="J19" s="100">
        <f t="shared" si="13"/>
        <v>894564</v>
      </c>
      <c r="K19" s="100">
        <f t="shared" si="13"/>
        <v>134908.20000000001</v>
      </c>
      <c r="L19" s="19">
        <f t="shared" si="7"/>
        <v>6307902.6000000006</v>
      </c>
      <c r="M19" s="98"/>
    </row>
    <row r="20" spans="1:13">
      <c r="A20" s="90" t="s">
        <v>64</v>
      </c>
      <c r="B20" s="91" t="s">
        <v>68</v>
      </c>
      <c r="C20" s="91"/>
      <c r="D20" s="98" t="s">
        <v>51</v>
      </c>
      <c r="E20" s="100">
        <f t="shared" ref="E20:K20" si="14">E21+E22</f>
        <v>797417.14</v>
      </c>
      <c r="F20" s="100">
        <f t="shared" si="14"/>
        <v>579984.92000000004</v>
      </c>
      <c r="G20" s="100">
        <f t="shared" si="14"/>
        <v>264457.14</v>
      </c>
      <c r="H20" s="100">
        <f t="shared" si="14"/>
        <v>121408</v>
      </c>
      <c r="I20" s="100">
        <f t="shared" si="14"/>
        <v>247563.42</v>
      </c>
      <c r="J20" s="100">
        <f t="shared" si="14"/>
        <v>340786.28</v>
      </c>
      <c r="K20" s="100">
        <f t="shared" si="14"/>
        <v>51393.599999999999</v>
      </c>
      <c r="L20" s="19">
        <f t="shared" si="7"/>
        <v>2403010.5000000005</v>
      </c>
      <c r="M20" s="98"/>
    </row>
    <row r="21" spans="1:13">
      <c r="A21" s="90" t="s">
        <v>67</v>
      </c>
      <c r="B21" s="91" t="s">
        <v>70</v>
      </c>
      <c r="C21" s="91" t="s">
        <v>71</v>
      </c>
      <c r="D21" s="98" t="s">
        <v>51</v>
      </c>
      <c r="E21" s="100">
        <f t="shared" ref="E21:K21" si="15">ROUND(E28/0.07*0.02,2)</f>
        <v>398708.57</v>
      </c>
      <c r="F21" s="100">
        <f t="shared" si="15"/>
        <v>289992.46000000002</v>
      </c>
      <c r="G21" s="100">
        <f t="shared" si="15"/>
        <v>132228.57</v>
      </c>
      <c r="H21" s="100">
        <f t="shared" si="15"/>
        <v>60704</v>
      </c>
      <c r="I21" s="100">
        <f t="shared" si="15"/>
        <v>123781.71</v>
      </c>
      <c r="J21" s="100">
        <f t="shared" si="15"/>
        <v>170393.14</v>
      </c>
      <c r="K21" s="100">
        <f t="shared" si="15"/>
        <v>25696.799999999999</v>
      </c>
      <c r="L21" s="19">
        <f t="shared" si="7"/>
        <v>1201505.2500000002</v>
      </c>
      <c r="M21" s="98"/>
    </row>
    <row r="22" spans="1:13">
      <c r="A22" s="90" t="s">
        <v>69</v>
      </c>
      <c r="B22" s="91" t="s">
        <v>73</v>
      </c>
      <c r="C22" s="91" t="s">
        <v>71</v>
      </c>
      <c r="D22" s="98" t="s">
        <v>51</v>
      </c>
      <c r="E22" s="100">
        <f t="shared" ref="E22:K22" si="16">ROUND(E28/0.07*0.02,2)</f>
        <v>398708.57</v>
      </c>
      <c r="F22" s="100">
        <f t="shared" si="16"/>
        <v>289992.46000000002</v>
      </c>
      <c r="G22" s="100">
        <f t="shared" si="16"/>
        <v>132228.57</v>
      </c>
      <c r="H22" s="100">
        <f t="shared" si="16"/>
        <v>60704</v>
      </c>
      <c r="I22" s="100">
        <f t="shared" si="16"/>
        <v>123781.71</v>
      </c>
      <c r="J22" s="100">
        <f t="shared" si="16"/>
        <v>170393.14</v>
      </c>
      <c r="K22" s="100">
        <f t="shared" si="16"/>
        <v>25696.799999999999</v>
      </c>
      <c r="L22" s="19">
        <f t="shared" si="7"/>
        <v>1201505.2500000002</v>
      </c>
      <c r="M22" s="98"/>
    </row>
    <row r="23" spans="1:13">
      <c r="A23" s="90" t="s">
        <v>72</v>
      </c>
      <c r="B23" s="91" t="s">
        <v>75</v>
      </c>
      <c r="C23" s="91"/>
      <c r="D23" s="92" t="s">
        <v>28</v>
      </c>
      <c r="E23" s="19">
        <f t="shared" ref="E23:K23" si="17">E24</f>
        <v>3189668.57</v>
      </c>
      <c r="F23" s="19">
        <f t="shared" si="17"/>
        <v>2319939.66</v>
      </c>
      <c r="G23" s="19">
        <f t="shared" si="17"/>
        <v>1057828.57</v>
      </c>
      <c r="H23" s="19">
        <f t="shared" si="17"/>
        <v>485632</v>
      </c>
      <c r="I23" s="19">
        <f t="shared" si="17"/>
        <v>990253.71</v>
      </c>
      <c r="J23" s="19">
        <f t="shared" si="17"/>
        <v>1363145.14</v>
      </c>
      <c r="K23" s="19">
        <f t="shared" si="17"/>
        <v>205574.39999999999</v>
      </c>
      <c r="L23" s="19">
        <f t="shared" si="7"/>
        <v>9612042.0500000007</v>
      </c>
      <c r="M23" s="93"/>
    </row>
    <row r="24" spans="1:13" s="96" customFormat="1">
      <c r="A24" s="90" t="s">
        <v>74</v>
      </c>
      <c r="B24" s="95" t="s">
        <v>77</v>
      </c>
      <c r="C24" s="95" t="s">
        <v>78</v>
      </c>
      <c r="D24" s="93" t="s">
        <v>51</v>
      </c>
      <c r="E24" s="19">
        <f t="shared" ref="E24:K24" si="18">ROUND(E28/0.07*0.16,2)</f>
        <v>3189668.57</v>
      </c>
      <c r="F24" s="19">
        <f t="shared" si="18"/>
        <v>2319939.66</v>
      </c>
      <c r="G24" s="19">
        <f t="shared" si="18"/>
        <v>1057828.57</v>
      </c>
      <c r="H24" s="19">
        <f t="shared" si="18"/>
        <v>485632</v>
      </c>
      <c r="I24" s="19">
        <f t="shared" si="18"/>
        <v>990253.71</v>
      </c>
      <c r="J24" s="19">
        <f t="shared" si="18"/>
        <v>1363145.14</v>
      </c>
      <c r="K24" s="19">
        <f t="shared" si="18"/>
        <v>205574.39999999999</v>
      </c>
      <c r="L24" s="19">
        <f t="shared" si="7"/>
        <v>9612042.0500000007</v>
      </c>
      <c r="M24" s="93"/>
    </row>
    <row r="25" spans="1:13">
      <c r="A25" s="90" t="s">
        <v>76</v>
      </c>
      <c r="B25" s="91" t="s">
        <v>80</v>
      </c>
      <c r="C25" s="91"/>
      <c r="D25" s="92" t="s">
        <v>28</v>
      </c>
      <c r="E25" s="19">
        <f t="shared" ref="E25:K25" si="19">E26</f>
        <v>1594834.29</v>
      </c>
      <c r="F25" s="19">
        <f t="shared" si="19"/>
        <v>1159969.83</v>
      </c>
      <c r="G25" s="19">
        <f t="shared" si="19"/>
        <v>528914.29</v>
      </c>
      <c r="H25" s="19">
        <f t="shared" si="19"/>
        <v>242816</v>
      </c>
      <c r="I25" s="19">
        <f t="shared" si="19"/>
        <v>495126.86</v>
      </c>
      <c r="J25" s="19">
        <f t="shared" si="19"/>
        <v>681572.57</v>
      </c>
      <c r="K25" s="19">
        <f t="shared" si="19"/>
        <v>102787.2</v>
      </c>
      <c r="L25" s="19">
        <f t="shared" si="7"/>
        <v>4806021.04</v>
      </c>
      <c r="M25" s="93"/>
    </row>
    <row r="26" spans="1:13" s="96" customFormat="1">
      <c r="A26" s="90" t="s">
        <v>79</v>
      </c>
      <c r="B26" s="95" t="s">
        <v>82</v>
      </c>
      <c r="C26" s="95" t="s">
        <v>83</v>
      </c>
      <c r="D26" s="93" t="s">
        <v>51</v>
      </c>
      <c r="E26" s="19">
        <f t="shared" ref="E26:K26" si="20">ROUND(E28/0.07*0.08,2)</f>
        <v>1594834.29</v>
      </c>
      <c r="F26" s="19">
        <f t="shared" si="20"/>
        <v>1159969.83</v>
      </c>
      <c r="G26" s="19">
        <f t="shared" si="20"/>
        <v>528914.29</v>
      </c>
      <c r="H26" s="19">
        <f t="shared" si="20"/>
        <v>242816</v>
      </c>
      <c r="I26" s="19">
        <f t="shared" si="20"/>
        <v>495126.86</v>
      </c>
      <c r="J26" s="19">
        <f t="shared" si="20"/>
        <v>681572.57</v>
      </c>
      <c r="K26" s="19">
        <f t="shared" si="20"/>
        <v>102787.2</v>
      </c>
      <c r="L26" s="19">
        <f t="shared" si="7"/>
        <v>4806021.04</v>
      </c>
      <c r="M26" s="93"/>
    </row>
    <row r="27" spans="1:13" ht="22.5">
      <c r="A27" s="90" t="s">
        <v>81</v>
      </c>
      <c r="B27" s="91" t="s">
        <v>85</v>
      </c>
      <c r="C27" s="97" t="s">
        <v>35</v>
      </c>
      <c r="D27" s="93" t="s">
        <v>86</v>
      </c>
      <c r="E27" s="19">
        <f>6000*E93</f>
        <v>480000</v>
      </c>
      <c r="F27" s="19">
        <f>6000*F93</f>
        <v>408000</v>
      </c>
      <c r="G27" s="19">
        <f t="shared" ref="G27:L27" si="21">6000*G93</f>
        <v>192000</v>
      </c>
      <c r="H27" s="19">
        <f t="shared" si="21"/>
        <v>96000</v>
      </c>
      <c r="I27" s="19">
        <f t="shared" si="21"/>
        <v>198000</v>
      </c>
      <c r="J27" s="19">
        <f t="shared" si="21"/>
        <v>300000</v>
      </c>
      <c r="K27" s="19">
        <f t="shared" si="21"/>
        <v>30000</v>
      </c>
      <c r="L27" s="19">
        <f t="shared" si="21"/>
        <v>1704000</v>
      </c>
      <c r="M27" s="93"/>
    </row>
    <row r="28" spans="1:13">
      <c r="A28" s="90" t="s">
        <v>84</v>
      </c>
      <c r="B28" s="91" t="s">
        <v>88</v>
      </c>
      <c r="C28" s="91" t="s">
        <v>88</v>
      </c>
      <c r="D28" s="92" t="s">
        <v>89</v>
      </c>
      <c r="E28" s="99">
        <v>1395480</v>
      </c>
      <c r="F28" s="99">
        <v>1014973.6</v>
      </c>
      <c r="G28" s="99">
        <v>462800</v>
      </c>
      <c r="H28" s="99">
        <v>212464</v>
      </c>
      <c r="I28" s="99">
        <v>433236</v>
      </c>
      <c r="J28" s="99">
        <v>596376</v>
      </c>
      <c r="K28" s="99">
        <v>89938.8</v>
      </c>
      <c r="L28" s="19">
        <f t="shared" ref="L28:L89" si="22">SUM(E28:K28)</f>
        <v>4205268.4000000004</v>
      </c>
      <c r="M28" s="98"/>
    </row>
    <row r="29" spans="1:13">
      <c r="A29" s="90" t="s">
        <v>87</v>
      </c>
      <c r="B29" s="91" t="s">
        <v>91</v>
      </c>
      <c r="C29" s="91" t="s">
        <v>92</v>
      </c>
      <c r="D29" s="93" t="s">
        <v>93</v>
      </c>
      <c r="E29" s="99"/>
      <c r="F29" s="99"/>
      <c r="G29" s="99"/>
      <c r="H29" s="99"/>
      <c r="I29" s="99"/>
      <c r="J29" s="99"/>
      <c r="K29" s="99"/>
      <c r="L29" s="19">
        <f t="shared" si="22"/>
        <v>0</v>
      </c>
      <c r="M29" s="98"/>
    </row>
    <row r="30" spans="1:13">
      <c r="A30" s="90" t="s">
        <v>90</v>
      </c>
      <c r="B30" s="91" t="s">
        <v>95</v>
      </c>
      <c r="C30" s="91"/>
      <c r="D30" s="92" t="s">
        <v>28</v>
      </c>
      <c r="E30" s="19">
        <f>E31+E39+E42+E44</f>
        <v>13200</v>
      </c>
      <c r="F30" s="19">
        <f t="shared" ref="F30:K30" si="23">F31+F39+F42+F44</f>
        <v>9750</v>
      </c>
      <c r="G30" s="19">
        <f t="shared" si="23"/>
        <v>6720</v>
      </c>
      <c r="H30" s="19">
        <f t="shared" si="23"/>
        <v>1800</v>
      </c>
      <c r="I30" s="19">
        <f t="shared" si="23"/>
        <v>5960</v>
      </c>
      <c r="J30" s="19">
        <f t="shared" si="23"/>
        <v>5300</v>
      </c>
      <c r="K30" s="19">
        <f t="shared" si="23"/>
        <v>0</v>
      </c>
      <c r="L30" s="19">
        <f t="shared" si="22"/>
        <v>42730</v>
      </c>
      <c r="M30" s="93"/>
    </row>
    <row r="31" spans="1:13">
      <c r="A31" s="90" t="s">
        <v>94</v>
      </c>
      <c r="B31" s="91" t="s">
        <v>97</v>
      </c>
      <c r="C31" s="91"/>
      <c r="D31" s="92" t="s">
        <v>28</v>
      </c>
      <c r="E31" s="19">
        <f t="shared" ref="E31:K31" si="24">E32+E33+E34+E35+E36+E37+E38</f>
        <v>0</v>
      </c>
      <c r="F31" s="19">
        <f t="shared" si="24"/>
        <v>0</v>
      </c>
      <c r="G31" s="19">
        <f t="shared" si="24"/>
        <v>0</v>
      </c>
      <c r="H31" s="19">
        <f t="shared" si="24"/>
        <v>0</v>
      </c>
      <c r="I31" s="19">
        <f t="shared" si="24"/>
        <v>0</v>
      </c>
      <c r="J31" s="19">
        <f t="shared" si="24"/>
        <v>0</v>
      </c>
      <c r="K31" s="19">
        <f t="shared" si="24"/>
        <v>0</v>
      </c>
      <c r="L31" s="19">
        <f t="shared" si="22"/>
        <v>0</v>
      </c>
      <c r="M31" s="93"/>
    </row>
    <row r="32" spans="1:13">
      <c r="A32" s="90" t="s">
        <v>96</v>
      </c>
      <c r="B32" s="91" t="s">
        <v>99</v>
      </c>
      <c r="C32" s="91" t="s">
        <v>100</v>
      </c>
      <c r="D32" s="98" t="s">
        <v>101</v>
      </c>
      <c r="E32" s="99"/>
      <c r="F32" s="99"/>
      <c r="G32" s="99"/>
      <c r="H32" s="99"/>
      <c r="I32" s="99"/>
      <c r="J32" s="99"/>
      <c r="K32" s="99"/>
      <c r="L32" s="19">
        <f t="shared" si="22"/>
        <v>0</v>
      </c>
      <c r="M32" s="98"/>
    </row>
    <row r="33" spans="1:13">
      <c r="A33" s="90" t="s">
        <v>98</v>
      </c>
      <c r="B33" s="91" t="s">
        <v>103</v>
      </c>
      <c r="C33" s="91" t="s">
        <v>100</v>
      </c>
      <c r="D33" s="98" t="s">
        <v>101</v>
      </c>
      <c r="E33" s="99"/>
      <c r="F33" s="99"/>
      <c r="G33" s="99"/>
      <c r="H33" s="99"/>
      <c r="I33" s="99"/>
      <c r="J33" s="99"/>
      <c r="K33" s="99"/>
      <c r="L33" s="19">
        <f t="shared" si="22"/>
        <v>0</v>
      </c>
      <c r="M33" s="98"/>
    </row>
    <row r="34" spans="1:13">
      <c r="A34" s="90" t="s">
        <v>102</v>
      </c>
      <c r="B34" s="91" t="s">
        <v>105</v>
      </c>
      <c r="C34" s="91" t="s">
        <v>100</v>
      </c>
      <c r="D34" s="98" t="s">
        <v>106</v>
      </c>
      <c r="E34" s="99"/>
      <c r="F34" s="99"/>
      <c r="G34" s="99"/>
      <c r="H34" s="99"/>
      <c r="I34" s="99"/>
      <c r="J34" s="99"/>
      <c r="K34" s="99"/>
      <c r="L34" s="19">
        <f t="shared" si="22"/>
        <v>0</v>
      </c>
      <c r="M34" s="98"/>
    </row>
    <row r="35" spans="1:13">
      <c r="A35" s="90" t="s">
        <v>104</v>
      </c>
      <c r="B35" s="91" t="s">
        <v>108</v>
      </c>
      <c r="C35" s="91" t="s">
        <v>100</v>
      </c>
      <c r="D35" s="98" t="s">
        <v>101</v>
      </c>
      <c r="E35" s="99"/>
      <c r="F35" s="99"/>
      <c r="G35" s="99"/>
      <c r="H35" s="99"/>
      <c r="I35" s="99"/>
      <c r="J35" s="99"/>
      <c r="K35" s="99"/>
      <c r="L35" s="19">
        <f t="shared" si="22"/>
        <v>0</v>
      </c>
      <c r="M35" s="98"/>
    </row>
    <row r="36" spans="1:13">
      <c r="A36" s="90" t="s">
        <v>107</v>
      </c>
      <c r="B36" s="91" t="s">
        <v>110</v>
      </c>
      <c r="C36" s="91" t="s">
        <v>100</v>
      </c>
      <c r="D36" s="98" t="s">
        <v>101</v>
      </c>
      <c r="E36" s="99"/>
      <c r="F36" s="99"/>
      <c r="G36" s="99"/>
      <c r="H36" s="99"/>
      <c r="I36" s="99"/>
      <c r="J36" s="99"/>
      <c r="K36" s="99"/>
      <c r="L36" s="19">
        <f t="shared" si="22"/>
        <v>0</v>
      </c>
      <c r="M36" s="98"/>
    </row>
    <row r="37" spans="1:13">
      <c r="A37" s="90" t="s">
        <v>109</v>
      </c>
      <c r="B37" s="91" t="s">
        <v>112</v>
      </c>
      <c r="C37" s="91" t="s">
        <v>100</v>
      </c>
      <c r="D37" s="98" t="s">
        <v>101</v>
      </c>
      <c r="E37" s="99"/>
      <c r="F37" s="99"/>
      <c r="G37" s="99"/>
      <c r="H37" s="99"/>
      <c r="I37" s="99"/>
      <c r="J37" s="99"/>
      <c r="K37" s="99"/>
      <c r="L37" s="19">
        <f t="shared" si="22"/>
        <v>0</v>
      </c>
      <c r="M37" s="98"/>
    </row>
    <row r="38" spans="1:13">
      <c r="A38" s="90" t="s">
        <v>111</v>
      </c>
      <c r="B38" s="91" t="s">
        <v>114</v>
      </c>
      <c r="C38" s="91" t="s">
        <v>100</v>
      </c>
      <c r="D38" s="98" t="s">
        <v>101</v>
      </c>
      <c r="E38" s="99"/>
      <c r="F38" s="99"/>
      <c r="G38" s="99"/>
      <c r="H38" s="99"/>
      <c r="I38" s="99"/>
      <c r="J38" s="99"/>
      <c r="K38" s="99"/>
      <c r="L38" s="19">
        <f t="shared" si="22"/>
        <v>0</v>
      </c>
      <c r="M38" s="98"/>
    </row>
    <row r="39" spans="1:13">
      <c r="A39" s="90" t="s">
        <v>113</v>
      </c>
      <c r="B39" s="91" t="s">
        <v>119</v>
      </c>
      <c r="C39" s="91"/>
      <c r="D39" s="92" t="s">
        <v>28</v>
      </c>
      <c r="E39" s="19">
        <f t="shared" ref="E39:K39" si="25">E40+E41</f>
        <v>0</v>
      </c>
      <c r="F39" s="19">
        <f t="shared" si="25"/>
        <v>0</v>
      </c>
      <c r="G39" s="19">
        <f t="shared" si="25"/>
        <v>0</v>
      </c>
      <c r="H39" s="19">
        <f t="shared" si="25"/>
        <v>0</v>
      </c>
      <c r="I39" s="19">
        <f t="shared" si="25"/>
        <v>0</v>
      </c>
      <c r="J39" s="19">
        <f t="shared" si="25"/>
        <v>0</v>
      </c>
      <c r="K39" s="19">
        <f t="shared" si="25"/>
        <v>0</v>
      </c>
      <c r="L39" s="19">
        <f t="shared" si="22"/>
        <v>0</v>
      </c>
      <c r="M39" s="93"/>
    </row>
    <row r="40" spans="1:13" s="96" customFormat="1">
      <c r="A40" s="90" t="s">
        <v>115</v>
      </c>
      <c r="B40" s="95" t="s">
        <v>121</v>
      </c>
      <c r="C40" s="95" t="s">
        <v>35</v>
      </c>
      <c r="D40" s="93" t="s">
        <v>106</v>
      </c>
      <c r="E40" s="101"/>
      <c r="F40" s="101"/>
      <c r="G40" s="101"/>
      <c r="H40" s="101"/>
      <c r="I40" s="101"/>
      <c r="J40" s="101"/>
      <c r="K40" s="101"/>
      <c r="L40" s="19">
        <f t="shared" si="22"/>
        <v>0</v>
      </c>
      <c r="M40" s="93"/>
    </row>
    <row r="41" spans="1:13" s="96" customFormat="1">
      <c r="A41" s="90" t="s">
        <v>116</v>
      </c>
      <c r="B41" s="95" t="s">
        <v>123</v>
      </c>
      <c r="C41" s="95" t="s">
        <v>35</v>
      </c>
      <c r="D41" s="93" t="s">
        <v>106</v>
      </c>
      <c r="E41" s="101"/>
      <c r="F41" s="101"/>
      <c r="G41" s="101"/>
      <c r="H41" s="101"/>
      <c r="I41" s="101"/>
      <c r="J41" s="101"/>
      <c r="K41" s="101"/>
      <c r="L41" s="19">
        <f t="shared" si="22"/>
        <v>0</v>
      </c>
      <c r="M41" s="93"/>
    </row>
    <row r="42" spans="1:13">
      <c r="A42" s="90" t="s">
        <v>118</v>
      </c>
      <c r="B42" s="91" t="s">
        <v>125</v>
      </c>
      <c r="C42" s="91"/>
      <c r="D42" s="92" t="s">
        <v>28</v>
      </c>
      <c r="E42" s="19">
        <f t="shared" ref="E42:K42" si="26">E43</f>
        <v>5400</v>
      </c>
      <c r="F42" s="19">
        <f t="shared" si="26"/>
        <v>4950</v>
      </c>
      <c r="G42" s="19">
        <f t="shared" si="26"/>
        <v>1920</v>
      </c>
      <c r="H42" s="19">
        <f t="shared" si="26"/>
        <v>1800</v>
      </c>
      <c r="I42" s="19">
        <f t="shared" si="26"/>
        <v>3960</v>
      </c>
      <c r="J42" s="19">
        <f t="shared" si="26"/>
        <v>1800</v>
      </c>
      <c r="K42" s="19">
        <f t="shared" si="26"/>
        <v>0</v>
      </c>
      <c r="L42" s="19">
        <f t="shared" si="22"/>
        <v>19830</v>
      </c>
      <c r="M42" s="93"/>
    </row>
    <row r="43" spans="1:13">
      <c r="A43" s="90" t="s">
        <v>120</v>
      </c>
      <c r="B43" s="91" t="s">
        <v>127</v>
      </c>
      <c r="C43" s="91" t="s">
        <v>35</v>
      </c>
      <c r="D43" s="92" t="s">
        <v>36</v>
      </c>
      <c r="E43" s="22">
        <v>5400</v>
      </c>
      <c r="F43" s="22">
        <v>4950</v>
      </c>
      <c r="G43" s="22">
        <v>1920</v>
      </c>
      <c r="H43" s="22">
        <v>1800</v>
      </c>
      <c r="I43" s="22">
        <v>3960</v>
      </c>
      <c r="J43" s="22">
        <v>1800</v>
      </c>
      <c r="K43" s="22"/>
      <c r="L43" s="19">
        <f t="shared" si="22"/>
        <v>19830</v>
      </c>
      <c r="M43" s="93"/>
    </row>
    <row r="44" spans="1:13">
      <c r="A44" s="90" t="s">
        <v>122</v>
      </c>
      <c r="B44" s="91" t="s">
        <v>129</v>
      </c>
      <c r="C44" s="91"/>
      <c r="D44" s="92" t="s">
        <v>28</v>
      </c>
      <c r="E44" s="19">
        <f t="shared" ref="E44:K44" si="27">SUM(E45:E48)</f>
        <v>7800</v>
      </c>
      <c r="F44" s="19">
        <f t="shared" si="27"/>
        <v>4800</v>
      </c>
      <c r="G44" s="19">
        <f t="shared" si="27"/>
        <v>4800</v>
      </c>
      <c r="H44" s="19">
        <f t="shared" si="27"/>
        <v>0</v>
      </c>
      <c r="I44" s="19">
        <f t="shared" si="27"/>
        <v>2000</v>
      </c>
      <c r="J44" s="19">
        <f t="shared" si="27"/>
        <v>3500</v>
      </c>
      <c r="K44" s="19">
        <f t="shared" si="27"/>
        <v>0</v>
      </c>
      <c r="L44" s="19">
        <f t="shared" si="22"/>
        <v>22900</v>
      </c>
      <c r="M44" s="93"/>
    </row>
    <row r="45" spans="1:13">
      <c r="A45" s="90" t="s">
        <v>124</v>
      </c>
      <c r="B45" s="91" t="s">
        <v>131</v>
      </c>
      <c r="C45" s="91" t="s">
        <v>35</v>
      </c>
      <c r="D45" s="92" t="s">
        <v>132</v>
      </c>
      <c r="E45" s="22">
        <v>7800</v>
      </c>
      <c r="F45" s="22">
        <v>4800</v>
      </c>
      <c r="G45" s="22">
        <v>4800</v>
      </c>
      <c r="H45" s="22"/>
      <c r="I45" s="22">
        <v>2000</v>
      </c>
      <c r="J45" s="22">
        <v>3500</v>
      </c>
      <c r="K45" s="22"/>
      <c r="L45" s="19">
        <f t="shared" si="22"/>
        <v>22900</v>
      </c>
      <c r="M45" s="93"/>
    </row>
    <row r="46" spans="1:13" s="96" customFormat="1">
      <c r="A46" s="90" t="s">
        <v>126</v>
      </c>
      <c r="B46" s="95" t="s">
        <v>134</v>
      </c>
      <c r="C46" s="95" t="s">
        <v>35</v>
      </c>
      <c r="D46" s="93" t="s">
        <v>135</v>
      </c>
      <c r="E46" s="101"/>
      <c r="F46" s="101"/>
      <c r="G46" s="101"/>
      <c r="H46" s="101"/>
      <c r="I46" s="101"/>
      <c r="J46" s="101"/>
      <c r="K46" s="101"/>
      <c r="L46" s="19">
        <f t="shared" si="22"/>
        <v>0</v>
      </c>
      <c r="M46" s="93"/>
    </row>
    <row r="47" spans="1:13" s="96" customFormat="1">
      <c r="A47" s="90" t="s">
        <v>128</v>
      </c>
      <c r="B47" s="95" t="s">
        <v>137</v>
      </c>
      <c r="C47" s="95" t="s">
        <v>35</v>
      </c>
      <c r="D47" s="93" t="s">
        <v>135</v>
      </c>
      <c r="E47" s="101"/>
      <c r="F47" s="101"/>
      <c r="G47" s="101"/>
      <c r="H47" s="101"/>
      <c r="I47" s="101"/>
      <c r="J47" s="101"/>
      <c r="K47" s="101"/>
      <c r="L47" s="19">
        <f t="shared" si="22"/>
        <v>0</v>
      </c>
      <c r="M47" s="93"/>
    </row>
    <row r="48" spans="1:13" ht="33.75">
      <c r="A48" s="90" t="s">
        <v>130</v>
      </c>
      <c r="B48" s="91" t="s">
        <v>139</v>
      </c>
      <c r="C48" s="91" t="s">
        <v>35</v>
      </c>
      <c r="D48" s="98" t="s">
        <v>140</v>
      </c>
      <c r="E48" s="99"/>
      <c r="F48" s="99"/>
      <c r="G48" s="99"/>
      <c r="H48" s="99"/>
      <c r="I48" s="99"/>
      <c r="J48" s="99"/>
      <c r="K48" s="99"/>
      <c r="L48" s="19">
        <f t="shared" si="22"/>
        <v>0</v>
      </c>
      <c r="M48" s="98"/>
    </row>
    <row r="49" spans="1:13">
      <c r="A49" s="90" t="s">
        <v>133</v>
      </c>
      <c r="B49" s="91" t="s">
        <v>142</v>
      </c>
      <c r="C49" s="91"/>
      <c r="D49" s="92" t="s">
        <v>28</v>
      </c>
      <c r="E49" s="19">
        <f t="shared" ref="E49:K49" si="28">E50+E68+E70+E72+E74+E76+E78+E80+E82+E90</f>
        <v>4071725.02</v>
      </c>
      <c r="F49" s="19">
        <f t="shared" si="28"/>
        <v>4161961.96</v>
      </c>
      <c r="G49" s="19">
        <f t="shared" si="28"/>
        <v>2625918.5699999998</v>
      </c>
      <c r="H49" s="19">
        <f t="shared" si="28"/>
        <v>1088309</v>
      </c>
      <c r="I49" s="19">
        <f t="shared" si="28"/>
        <v>1450121.21</v>
      </c>
      <c r="J49" s="19">
        <f t="shared" si="28"/>
        <v>2679943.3400000003</v>
      </c>
      <c r="K49" s="19">
        <f t="shared" si="28"/>
        <v>262296.8</v>
      </c>
      <c r="L49" s="19">
        <f t="shared" si="22"/>
        <v>16340275.900000002</v>
      </c>
      <c r="M49" s="93"/>
    </row>
    <row r="50" spans="1:13">
      <c r="A50" s="90" t="s">
        <v>136</v>
      </c>
      <c r="B50" s="91" t="s">
        <v>144</v>
      </c>
      <c r="C50" s="91"/>
      <c r="D50" s="92" t="s">
        <v>145</v>
      </c>
      <c r="E50" s="19">
        <v>2304800</v>
      </c>
      <c r="F50" s="19">
        <v>3033450</v>
      </c>
      <c r="G50" s="19">
        <v>1926000</v>
      </c>
      <c r="H50" s="19">
        <v>858000</v>
      </c>
      <c r="I50" s="19">
        <v>1009580</v>
      </c>
      <c r="J50" s="19">
        <v>1950520</v>
      </c>
      <c r="K50" s="19">
        <v>112000</v>
      </c>
      <c r="L50" s="19">
        <f t="shared" si="22"/>
        <v>11194350</v>
      </c>
      <c r="M50" s="93"/>
    </row>
    <row r="51" spans="1:13">
      <c r="A51" s="90" t="s">
        <v>138</v>
      </c>
      <c r="B51" s="91" t="s">
        <v>147</v>
      </c>
      <c r="C51" s="91" t="s">
        <v>35</v>
      </c>
      <c r="D51" s="102"/>
      <c r="E51" s="22"/>
      <c r="F51" s="22"/>
      <c r="G51" s="22"/>
      <c r="H51" s="22"/>
      <c r="I51" s="22"/>
      <c r="J51" s="22"/>
      <c r="K51" s="22"/>
      <c r="L51" s="19">
        <f t="shared" si="22"/>
        <v>0</v>
      </c>
      <c r="M51" s="93"/>
    </row>
    <row r="52" spans="1:13">
      <c r="A52" s="90" t="s">
        <v>141</v>
      </c>
      <c r="B52" s="91" t="s">
        <v>149</v>
      </c>
      <c r="C52" s="91" t="s">
        <v>35</v>
      </c>
      <c r="D52" s="102"/>
      <c r="E52" s="22"/>
      <c r="F52" s="22"/>
      <c r="G52" s="22"/>
      <c r="H52" s="22"/>
      <c r="I52" s="22"/>
      <c r="J52" s="22"/>
      <c r="K52" s="22"/>
      <c r="L52" s="19">
        <f t="shared" si="22"/>
        <v>0</v>
      </c>
      <c r="M52" s="93"/>
    </row>
    <row r="53" spans="1:13">
      <c r="A53" s="90" t="s">
        <v>143</v>
      </c>
      <c r="B53" s="91" t="s">
        <v>151</v>
      </c>
      <c r="C53" s="91" t="s">
        <v>35</v>
      </c>
      <c r="D53" s="102"/>
      <c r="E53" s="22"/>
      <c r="F53" s="22"/>
      <c r="G53" s="22"/>
      <c r="H53" s="22"/>
      <c r="I53" s="22"/>
      <c r="J53" s="22"/>
      <c r="K53" s="22"/>
      <c r="L53" s="19">
        <f t="shared" si="22"/>
        <v>0</v>
      </c>
      <c r="M53" s="93"/>
    </row>
    <row r="54" spans="1:13">
      <c r="A54" s="90" t="s">
        <v>146</v>
      </c>
      <c r="B54" s="91" t="s">
        <v>153</v>
      </c>
      <c r="C54" s="91" t="s">
        <v>35</v>
      </c>
      <c r="D54" s="102"/>
      <c r="E54" s="22"/>
      <c r="F54" s="22"/>
      <c r="G54" s="22"/>
      <c r="H54" s="22"/>
      <c r="I54" s="22"/>
      <c r="J54" s="22"/>
      <c r="K54" s="22"/>
      <c r="L54" s="19">
        <f t="shared" si="22"/>
        <v>0</v>
      </c>
      <c r="M54" s="93"/>
    </row>
    <row r="55" spans="1:13">
      <c r="A55" s="90" t="s">
        <v>148</v>
      </c>
      <c r="B55" s="91" t="s">
        <v>155</v>
      </c>
      <c r="C55" s="91" t="s">
        <v>35</v>
      </c>
      <c r="D55" s="102"/>
      <c r="E55" s="22"/>
      <c r="F55" s="22"/>
      <c r="G55" s="22"/>
      <c r="H55" s="22"/>
      <c r="I55" s="22"/>
      <c r="J55" s="22"/>
      <c r="K55" s="22"/>
      <c r="L55" s="19">
        <f t="shared" si="22"/>
        <v>0</v>
      </c>
      <c r="M55" s="93"/>
    </row>
    <row r="56" spans="1:13">
      <c r="A56" s="90" t="s">
        <v>150</v>
      </c>
      <c r="B56" s="91" t="s">
        <v>157</v>
      </c>
      <c r="C56" s="91" t="s">
        <v>35</v>
      </c>
      <c r="D56" s="102"/>
      <c r="E56" s="22"/>
      <c r="F56" s="22"/>
      <c r="G56" s="22"/>
      <c r="H56" s="22"/>
      <c r="I56" s="22"/>
      <c r="J56" s="22"/>
      <c r="K56" s="22"/>
      <c r="L56" s="19">
        <f t="shared" si="22"/>
        <v>0</v>
      </c>
      <c r="M56" s="93"/>
    </row>
    <row r="57" spans="1:13">
      <c r="A57" s="90" t="s">
        <v>152</v>
      </c>
      <c r="B57" s="91" t="s">
        <v>159</v>
      </c>
      <c r="C57" s="91" t="s">
        <v>35</v>
      </c>
      <c r="D57" s="102"/>
      <c r="E57" s="22"/>
      <c r="F57" s="22"/>
      <c r="G57" s="22"/>
      <c r="H57" s="22"/>
      <c r="I57" s="22"/>
      <c r="J57" s="22"/>
      <c r="K57" s="22"/>
      <c r="L57" s="19">
        <f t="shared" si="22"/>
        <v>0</v>
      </c>
      <c r="M57" s="93"/>
    </row>
    <row r="58" spans="1:13">
      <c r="A58" s="90" t="s">
        <v>154</v>
      </c>
      <c r="B58" s="91" t="s">
        <v>161</v>
      </c>
      <c r="C58" s="91" t="s">
        <v>35</v>
      </c>
      <c r="D58" s="102"/>
      <c r="E58" s="22"/>
      <c r="F58" s="22"/>
      <c r="G58" s="22"/>
      <c r="H58" s="22"/>
      <c r="I58" s="22"/>
      <c r="J58" s="22"/>
      <c r="K58" s="22"/>
      <c r="L58" s="19">
        <f t="shared" si="22"/>
        <v>0</v>
      </c>
      <c r="M58" s="93"/>
    </row>
    <row r="59" spans="1:13">
      <c r="A59" s="90" t="s">
        <v>156</v>
      </c>
      <c r="B59" s="91" t="s">
        <v>163</v>
      </c>
      <c r="C59" s="91" t="s">
        <v>35</v>
      </c>
      <c r="D59" s="102"/>
      <c r="E59" s="22">
        <v>0</v>
      </c>
      <c r="F59" s="22">
        <v>0</v>
      </c>
      <c r="G59" s="22"/>
      <c r="H59" s="22">
        <v>0</v>
      </c>
      <c r="I59" s="22"/>
      <c r="J59" s="22"/>
      <c r="K59" s="22"/>
      <c r="L59" s="19">
        <f t="shared" si="22"/>
        <v>0</v>
      </c>
      <c r="M59" s="93"/>
    </row>
    <row r="60" spans="1:13">
      <c r="A60" s="90" t="s">
        <v>158</v>
      </c>
      <c r="B60" s="91" t="s">
        <v>165</v>
      </c>
      <c r="C60" s="91" t="s">
        <v>166</v>
      </c>
      <c r="D60" s="102" t="s">
        <v>167</v>
      </c>
      <c r="E60" s="22">
        <v>115240</v>
      </c>
      <c r="F60" s="22">
        <v>151672.5</v>
      </c>
      <c r="G60" s="22">
        <v>66768</v>
      </c>
      <c r="H60" s="22">
        <v>10439</v>
      </c>
      <c r="I60" s="22">
        <v>50479</v>
      </c>
      <c r="J60" s="22">
        <v>96239</v>
      </c>
      <c r="K60" s="22">
        <v>5600</v>
      </c>
      <c r="L60" s="19">
        <f t="shared" si="22"/>
        <v>496437.5</v>
      </c>
      <c r="M60" s="93"/>
    </row>
    <row r="61" spans="1:13">
      <c r="A61" s="90" t="s">
        <v>160</v>
      </c>
      <c r="B61" s="91" t="s">
        <v>169</v>
      </c>
      <c r="C61" s="91" t="s">
        <v>35</v>
      </c>
      <c r="D61" s="102"/>
      <c r="E61" s="22"/>
      <c r="F61" s="22"/>
      <c r="G61" s="22"/>
      <c r="H61" s="22"/>
      <c r="I61" s="22"/>
      <c r="J61" s="22"/>
      <c r="K61" s="22"/>
      <c r="L61" s="19">
        <f t="shared" si="22"/>
        <v>0</v>
      </c>
      <c r="M61" s="93"/>
    </row>
    <row r="62" spans="1:13">
      <c r="A62" s="90" t="s">
        <v>162</v>
      </c>
      <c r="B62" s="91" t="s">
        <v>171</v>
      </c>
      <c r="C62" s="91" t="s">
        <v>35</v>
      </c>
      <c r="D62" s="102"/>
      <c r="E62" s="22"/>
      <c r="F62" s="22"/>
      <c r="G62" s="22"/>
      <c r="H62" s="22"/>
      <c r="I62" s="22"/>
      <c r="J62" s="22"/>
      <c r="K62" s="22"/>
      <c r="L62" s="19">
        <f t="shared" si="22"/>
        <v>0</v>
      </c>
      <c r="M62" s="93"/>
    </row>
    <row r="63" spans="1:13">
      <c r="A63" s="90" t="s">
        <v>164</v>
      </c>
      <c r="B63" s="91" t="s">
        <v>173</v>
      </c>
      <c r="C63" s="91" t="s">
        <v>35</v>
      </c>
      <c r="D63" s="102"/>
      <c r="E63" s="22"/>
      <c r="F63" s="22"/>
      <c r="G63" s="22"/>
      <c r="H63" s="22"/>
      <c r="I63" s="22"/>
      <c r="J63" s="22"/>
      <c r="K63" s="22"/>
      <c r="L63" s="19">
        <f t="shared" si="22"/>
        <v>0</v>
      </c>
      <c r="M63" s="93"/>
    </row>
    <row r="64" spans="1:13">
      <c r="A64" s="90" t="s">
        <v>168</v>
      </c>
      <c r="B64" s="91" t="s">
        <v>175</v>
      </c>
      <c r="C64" s="91" t="s">
        <v>35</v>
      </c>
      <c r="D64" s="102"/>
      <c r="E64" s="22"/>
      <c r="F64" s="22"/>
      <c r="G64" s="22"/>
      <c r="H64" s="22"/>
      <c r="I64" s="22"/>
      <c r="J64" s="22"/>
      <c r="K64" s="22"/>
      <c r="L64" s="19">
        <f t="shared" si="22"/>
        <v>0</v>
      </c>
      <c r="M64" s="93"/>
    </row>
    <row r="65" spans="1:13">
      <c r="A65" s="90" t="s">
        <v>170</v>
      </c>
      <c r="B65" s="91" t="s">
        <v>177</v>
      </c>
      <c r="C65" s="91" t="s">
        <v>35</v>
      </c>
      <c r="D65" s="102"/>
      <c r="E65" s="22"/>
      <c r="F65" s="22"/>
      <c r="G65" s="22"/>
      <c r="H65" s="22"/>
      <c r="I65" s="22"/>
      <c r="J65" s="22"/>
      <c r="K65" s="22"/>
      <c r="L65" s="19">
        <f t="shared" si="22"/>
        <v>0</v>
      </c>
      <c r="M65" s="93"/>
    </row>
    <row r="66" spans="1:13">
      <c r="A66" s="90" t="s">
        <v>172</v>
      </c>
      <c r="B66" s="91" t="s">
        <v>179</v>
      </c>
      <c r="C66" s="91" t="s">
        <v>35</v>
      </c>
      <c r="D66" s="102"/>
      <c r="E66" s="22"/>
      <c r="F66" s="22"/>
      <c r="G66" s="22"/>
      <c r="H66" s="22"/>
      <c r="I66" s="22"/>
      <c r="J66" s="22"/>
      <c r="K66" s="22"/>
      <c r="L66" s="19">
        <f t="shared" si="22"/>
        <v>0</v>
      </c>
      <c r="M66" s="93"/>
    </row>
    <row r="67" spans="1:13">
      <c r="A67" s="90" t="s">
        <v>174</v>
      </c>
      <c r="B67" s="91" t="s">
        <v>181</v>
      </c>
      <c r="C67" s="91" t="s">
        <v>35</v>
      </c>
      <c r="D67" s="102"/>
      <c r="E67" s="22"/>
      <c r="F67" s="22"/>
      <c r="G67" s="22"/>
      <c r="H67" s="22"/>
      <c r="I67" s="22"/>
      <c r="J67" s="22"/>
      <c r="K67" s="22"/>
      <c r="L67" s="19">
        <f t="shared" si="22"/>
        <v>0</v>
      </c>
      <c r="M67" s="93"/>
    </row>
    <row r="68" spans="1:13">
      <c r="A68" s="90" t="s">
        <v>176</v>
      </c>
      <c r="B68" s="91" t="s">
        <v>183</v>
      </c>
      <c r="C68" s="91"/>
      <c r="D68" s="92"/>
      <c r="E68" s="19">
        <f t="shared" ref="E68:K68" si="29">E69</f>
        <v>32000</v>
      </c>
      <c r="F68" s="19">
        <f t="shared" si="29"/>
        <v>27200</v>
      </c>
      <c r="G68" s="19">
        <f t="shared" si="29"/>
        <v>12800</v>
      </c>
      <c r="H68" s="19">
        <f t="shared" si="29"/>
        <v>6400</v>
      </c>
      <c r="I68" s="19">
        <f t="shared" si="29"/>
        <v>13200</v>
      </c>
      <c r="J68" s="19">
        <f t="shared" si="29"/>
        <v>20000</v>
      </c>
      <c r="K68" s="19">
        <f t="shared" si="29"/>
        <v>2000</v>
      </c>
      <c r="L68" s="19">
        <f t="shared" si="22"/>
        <v>113600</v>
      </c>
      <c r="M68" s="93"/>
    </row>
    <row r="69" spans="1:13" s="96" customFormat="1" ht="22.5">
      <c r="A69" s="90" t="s">
        <v>178</v>
      </c>
      <c r="B69" s="95" t="s">
        <v>185</v>
      </c>
      <c r="C69" s="95" t="s">
        <v>35</v>
      </c>
      <c r="D69" s="103" t="s">
        <v>186</v>
      </c>
      <c r="E69" s="19">
        <f t="shared" ref="E69:K69" si="30">E93*400</f>
        <v>32000</v>
      </c>
      <c r="F69" s="19">
        <f t="shared" si="30"/>
        <v>27200</v>
      </c>
      <c r="G69" s="19">
        <f t="shared" si="30"/>
        <v>12800</v>
      </c>
      <c r="H69" s="19">
        <f t="shared" si="30"/>
        <v>6400</v>
      </c>
      <c r="I69" s="19">
        <f t="shared" si="30"/>
        <v>13200</v>
      </c>
      <c r="J69" s="19">
        <f t="shared" si="30"/>
        <v>20000</v>
      </c>
      <c r="K69" s="19">
        <f t="shared" si="30"/>
        <v>2000</v>
      </c>
      <c r="L69" s="19">
        <f t="shared" si="22"/>
        <v>113600</v>
      </c>
      <c r="M69" s="93"/>
    </row>
    <row r="70" spans="1:13">
      <c r="A70" s="90" t="s">
        <v>180</v>
      </c>
      <c r="B70" s="91" t="s">
        <v>188</v>
      </c>
      <c r="C70" s="91"/>
      <c r="D70" s="92" t="s">
        <v>28</v>
      </c>
      <c r="E70" s="19">
        <f t="shared" ref="E70:K70" si="31">E71</f>
        <v>520152.45</v>
      </c>
      <c r="F70" s="19">
        <f t="shared" si="31"/>
        <v>100471.5</v>
      </c>
      <c r="G70" s="19">
        <f t="shared" si="31"/>
        <v>307530</v>
      </c>
      <c r="H70" s="19">
        <f t="shared" si="31"/>
        <v>22725</v>
      </c>
      <c r="I70" s="19">
        <f t="shared" si="31"/>
        <v>86839.5</v>
      </c>
      <c r="J70" s="19">
        <f t="shared" si="31"/>
        <v>224590.2</v>
      </c>
      <c r="K70" s="19">
        <f t="shared" si="31"/>
        <v>45000</v>
      </c>
      <c r="L70" s="19">
        <f t="shared" si="22"/>
        <v>1307308.6499999999</v>
      </c>
      <c r="M70" s="93"/>
    </row>
    <row r="71" spans="1:13" s="96" customFormat="1">
      <c r="A71" s="90" t="s">
        <v>182</v>
      </c>
      <c r="B71" s="95" t="s">
        <v>190</v>
      </c>
      <c r="C71" s="95" t="s">
        <v>35</v>
      </c>
      <c r="D71" s="103" t="s">
        <v>191</v>
      </c>
      <c r="E71" s="19">
        <f t="shared" ref="E71:K71" si="32">E105*15</f>
        <v>520152.45</v>
      </c>
      <c r="F71" s="19">
        <f t="shared" si="32"/>
        <v>100471.5</v>
      </c>
      <c r="G71" s="19">
        <f t="shared" si="32"/>
        <v>307530</v>
      </c>
      <c r="H71" s="19">
        <f t="shared" si="32"/>
        <v>22725</v>
      </c>
      <c r="I71" s="19">
        <f t="shared" si="32"/>
        <v>86839.5</v>
      </c>
      <c r="J71" s="19">
        <f t="shared" si="32"/>
        <v>224590.2</v>
      </c>
      <c r="K71" s="19">
        <f t="shared" si="32"/>
        <v>45000</v>
      </c>
      <c r="L71" s="19">
        <f t="shared" si="22"/>
        <v>1307308.6499999999</v>
      </c>
      <c r="M71" s="93"/>
    </row>
    <row r="72" spans="1:13">
      <c r="A72" s="90" t="s">
        <v>184</v>
      </c>
      <c r="B72" s="91" t="s">
        <v>193</v>
      </c>
      <c r="C72" s="91"/>
      <c r="D72" s="92" t="s">
        <v>28</v>
      </c>
      <c r="E72" s="19">
        <f t="shared" ref="E72:K72" si="33">E73</f>
        <v>178864</v>
      </c>
      <c r="F72" s="19">
        <f t="shared" si="33"/>
        <v>40528</v>
      </c>
      <c r="G72" s="19">
        <f t="shared" si="33"/>
        <v>77120</v>
      </c>
      <c r="H72" s="19">
        <f t="shared" si="33"/>
        <v>1600</v>
      </c>
      <c r="I72" s="19">
        <f t="shared" si="33"/>
        <v>28000</v>
      </c>
      <c r="J72" s="19">
        <f t="shared" si="33"/>
        <v>66440</v>
      </c>
      <c r="K72" s="19">
        <f t="shared" si="33"/>
        <v>24000</v>
      </c>
      <c r="L72" s="19">
        <f t="shared" si="22"/>
        <v>416552</v>
      </c>
      <c r="M72" s="93"/>
    </row>
    <row r="73" spans="1:13" s="96" customFormat="1">
      <c r="A73" s="90" t="s">
        <v>187</v>
      </c>
      <c r="B73" s="95" t="s">
        <v>195</v>
      </c>
      <c r="C73" s="95" t="s">
        <v>35</v>
      </c>
      <c r="D73" s="103" t="s">
        <v>196</v>
      </c>
      <c r="E73" s="19">
        <f t="shared" ref="E73:K73" si="34">E106*8</f>
        <v>178864</v>
      </c>
      <c r="F73" s="19">
        <f t="shared" si="34"/>
        <v>40528</v>
      </c>
      <c r="G73" s="19">
        <f t="shared" si="34"/>
        <v>77120</v>
      </c>
      <c r="H73" s="19">
        <f t="shared" si="34"/>
        <v>1600</v>
      </c>
      <c r="I73" s="19">
        <f t="shared" si="34"/>
        <v>28000</v>
      </c>
      <c r="J73" s="19">
        <f t="shared" si="34"/>
        <v>66440</v>
      </c>
      <c r="K73" s="19">
        <f t="shared" si="34"/>
        <v>24000</v>
      </c>
      <c r="L73" s="19">
        <f t="shared" si="22"/>
        <v>416552</v>
      </c>
      <c r="M73" s="93"/>
    </row>
    <row r="74" spans="1:13">
      <c r="A74" s="90" t="s">
        <v>189</v>
      </c>
      <c r="B74" s="91" t="s">
        <v>198</v>
      </c>
      <c r="C74" s="91"/>
      <c r="D74" s="92" t="s">
        <v>28</v>
      </c>
      <c r="E74" s="19">
        <f t="shared" ref="E74:K74" si="35">E75</f>
        <v>0</v>
      </c>
      <c r="F74" s="19">
        <f t="shared" si="35"/>
        <v>0</v>
      </c>
      <c r="G74" s="19">
        <f t="shared" si="35"/>
        <v>0</v>
      </c>
      <c r="H74" s="19">
        <f t="shared" si="35"/>
        <v>0</v>
      </c>
      <c r="I74" s="19">
        <f t="shared" si="35"/>
        <v>0</v>
      </c>
      <c r="J74" s="19">
        <f t="shared" si="35"/>
        <v>0</v>
      </c>
      <c r="K74" s="19">
        <f t="shared" si="35"/>
        <v>0</v>
      </c>
      <c r="L74" s="19">
        <f t="shared" si="22"/>
        <v>0</v>
      </c>
      <c r="M74" s="93"/>
    </row>
    <row r="75" spans="1:13" s="96" customFormat="1">
      <c r="A75" s="90" t="s">
        <v>192</v>
      </c>
      <c r="B75" s="95" t="s">
        <v>200</v>
      </c>
      <c r="C75" s="95" t="s">
        <v>35</v>
      </c>
      <c r="D75" s="103" t="s">
        <v>135</v>
      </c>
      <c r="E75" s="101"/>
      <c r="F75" s="101"/>
      <c r="G75" s="101"/>
      <c r="H75" s="101"/>
      <c r="I75" s="101"/>
      <c r="J75" s="101"/>
      <c r="K75" s="101"/>
      <c r="L75" s="19">
        <f t="shared" si="22"/>
        <v>0</v>
      </c>
      <c r="M75" s="93"/>
    </row>
    <row r="76" spans="1:13">
      <c r="A76" s="90" t="s">
        <v>194</v>
      </c>
      <c r="B76" s="91" t="s">
        <v>202</v>
      </c>
      <c r="C76" s="91"/>
      <c r="D76" s="92" t="s">
        <v>28</v>
      </c>
      <c r="E76" s="19">
        <f t="shared" ref="E76:K76" si="36">E77</f>
        <v>345600</v>
      </c>
      <c r="F76" s="19">
        <f t="shared" si="36"/>
        <v>293760</v>
      </c>
      <c r="G76" s="19">
        <f t="shared" si="36"/>
        <v>138240</v>
      </c>
      <c r="H76" s="19">
        <f t="shared" si="36"/>
        <v>69120</v>
      </c>
      <c r="I76" s="19">
        <f t="shared" si="36"/>
        <v>142560</v>
      </c>
      <c r="J76" s="19">
        <f t="shared" si="36"/>
        <v>216000</v>
      </c>
      <c r="K76" s="19">
        <f t="shared" si="36"/>
        <v>21600</v>
      </c>
      <c r="L76" s="19">
        <f t="shared" si="22"/>
        <v>1226880</v>
      </c>
      <c r="M76" s="93"/>
    </row>
    <row r="77" spans="1:13" s="96" customFormat="1" ht="22.5">
      <c r="A77" s="90" t="s">
        <v>197</v>
      </c>
      <c r="B77" s="95" t="s">
        <v>204</v>
      </c>
      <c r="C77" s="95" t="s">
        <v>35</v>
      </c>
      <c r="D77" s="103" t="s">
        <v>205</v>
      </c>
      <c r="E77" s="19">
        <f t="shared" ref="E77:K77" si="37">E93*4320</f>
        <v>345600</v>
      </c>
      <c r="F77" s="19">
        <f t="shared" si="37"/>
        <v>293760</v>
      </c>
      <c r="G77" s="19">
        <f t="shared" si="37"/>
        <v>138240</v>
      </c>
      <c r="H77" s="19">
        <f t="shared" si="37"/>
        <v>69120</v>
      </c>
      <c r="I77" s="19">
        <f t="shared" si="37"/>
        <v>142560</v>
      </c>
      <c r="J77" s="19">
        <f t="shared" si="37"/>
        <v>216000</v>
      </c>
      <c r="K77" s="19">
        <f t="shared" si="37"/>
        <v>21600</v>
      </c>
      <c r="L77" s="19">
        <f t="shared" si="22"/>
        <v>1226880</v>
      </c>
      <c r="M77" s="93"/>
    </row>
    <row r="78" spans="1:13">
      <c r="A78" s="90" t="s">
        <v>199</v>
      </c>
      <c r="B78" s="91" t="s">
        <v>207</v>
      </c>
      <c r="C78" s="91"/>
      <c r="D78" s="92" t="s">
        <v>28</v>
      </c>
      <c r="E78" s="19">
        <f t="shared" ref="E78:K78" si="38">E79</f>
        <v>398708.57</v>
      </c>
      <c r="F78" s="19">
        <f t="shared" si="38"/>
        <v>289992.46000000002</v>
      </c>
      <c r="G78" s="19">
        <f t="shared" si="38"/>
        <v>132228.57</v>
      </c>
      <c r="H78" s="19">
        <f t="shared" si="38"/>
        <v>60704</v>
      </c>
      <c r="I78" s="19">
        <f t="shared" si="38"/>
        <v>123781.71</v>
      </c>
      <c r="J78" s="19">
        <f t="shared" si="38"/>
        <v>170393.14</v>
      </c>
      <c r="K78" s="19">
        <f t="shared" si="38"/>
        <v>25696.799999999999</v>
      </c>
      <c r="L78" s="19">
        <f t="shared" si="22"/>
        <v>1201505.2500000002</v>
      </c>
      <c r="M78" s="93"/>
    </row>
    <row r="79" spans="1:13" s="96" customFormat="1">
      <c r="A79" s="90" t="s">
        <v>201</v>
      </c>
      <c r="B79" s="95" t="s">
        <v>209</v>
      </c>
      <c r="C79" s="95" t="s">
        <v>35</v>
      </c>
      <c r="D79" s="93" t="s">
        <v>51</v>
      </c>
      <c r="E79" s="19">
        <f t="shared" ref="E79:K79" si="39">ROUND(E28/0.07*0.02,2)</f>
        <v>398708.57</v>
      </c>
      <c r="F79" s="19">
        <f t="shared" si="39"/>
        <v>289992.46000000002</v>
      </c>
      <c r="G79" s="19">
        <f t="shared" si="39"/>
        <v>132228.57</v>
      </c>
      <c r="H79" s="19">
        <f t="shared" si="39"/>
        <v>60704</v>
      </c>
      <c r="I79" s="19">
        <f t="shared" si="39"/>
        <v>123781.71</v>
      </c>
      <c r="J79" s="19">
        <f t="shared" si="39"/>
        <v>170393.14</v>
      </c>
      <c r="K79" s="19">
        <f t="shared" si="39"/>
        <v>25696.799999999999</v>
      </c>
      <c r="L79" s="19">
        <f t="shared" si="22"/>
        <v>1201505.2500000002</v>
      </c>
      <c r="M79" s="93"/>
    </row>
    <row r="80" spans="1:13">
      <c r="A80" s="90" t="s">
        <v>203</v>
      </c>
      <c r="B80" s="91" t="s">
        <v>211</v>
      </c>
      <c r="C80" s="91"/>
      <c r="D80" s="92" t="s">
        <v>28</v>
      </c>
      <c r="E80" s="19">
        <f t="shared" ref="E80:K80" si="40">E81</f>
        <v>32000</v>
      </c>
      <c r="F80" s="19">
        <f t="shared" si="40"/>
        <v>32000</v>
      </c>
      <c r="G80" s="19">
        <f t="shared" si="40"/>
        <v>0</v>
      </c>
      <c r="H80" s="19">
        <f t="shared" si="40"/>
        <v>0</v>
      </c>
      <c r="I80" s="19">
        <f t="shared" si="40"/>
        <v>0</v>
      </c>
      <c r="J80" s="19">
        <f t="shared" si="40"/>
        <v>0</v>
      </c>
      <c r="K80" s="19">
        <f t="shared" si="40"/>
        <v>0</v>
      </c>
      <c r="L80" s="19">
        <f t="shared" si="22"/>
        <v>64000</v>
      </c>
      <c r="M80" s="93"/>
    </row>
    <row r="81" spans="1:13" ht="33.75">
      <c r="A81" s="90" t="s">
        <v>206</v>
      </c>
      <c r="B81" s="91" t="s">
        <v>213</v>
      </c>
      <c r="C81" s="91" t="s">
        <v>35</v>
      </c>
      <c r="D81" s="102" t="s">
        <v>214</v>
      </c>
      <c r="E81" s="22">
        <v>32000</v>
      </c>
      <c r="F81" s="22">
        <v>32000</v>
      </c>
      <c r="G81" s="22"/>
      <c r="H81" s="22"/>
      <c r="I81" s="22"/>
      <c r="J81" s="22"/>
      <c r="K81" s="22"/>
      <c r="L81" s="19">
        <f t="shared" si="22"/>
        <v>64000</v>
      </c>
      <c r="M81" s="93"/>
    </row>
    <row r="82" spans="1:13">
      <c r="A82" s="90" t="s">
        <v>208</v>
      </c>
      <c r="B82" s="91" t="s">
        <v>216</v>
      </c>
      <c r="C82" s="91"/>
      <c r="D82" s="92" t="s">
        <v>28</v>
      </c>
      <c r="E82" s="19">
        <f t="shared" ref="E82:K82" si="41">E83+E86+E89</f>
        <v>259600</v>
      </c>
      <c r="F82" s="19">
        <f t="shared" si="41"/>
        <v>344560</v>
      </c>
      <c r="G82" s="19">
        <f t="shared" si="41"/>
        <v>0</v>
      </c>
      <c r="H82" s="19">
        <f t="shared" si="41"/>
        <v>37760</v>
      </c>
      <c r="I82" s="19">
        <f t="shared" si="41"/>
        <v>14160</v>
      </c>
      <c r="J82" s="19">
        <f t="shared" si="41"/>
        <v>0</v>
      </c>
      <c r="K82" s="19">
        <f t="shared" si="41"/>
        <v>0</v>
      </c>
      <c r="L82" s="19">
        <f t="shared" si="22"/>
        <v>656080</v>
      </c>
      <c r="M82" s="93"/>
    </row>
    <row r="83" spans="1:13">
      <c r="A83" s="90" t="s">
        <v>210</v>
      </c>
      <c r="B83" s="91" t="s">
        <v>218</v>
      </c>
      <c r="C83" s="91"/>
      <c r="D83" s="92" t="s">
        <v>28</v>
      </c>
      <c r="E83" s="19">
        <f t="shared" ref="E83:K83" si="42">E84+E85</f>
        <v>0</v>
      </c>
      <c r="F83" s="19">
        <f t="shared" si="42"/>
        <v>0</v>
      </c>
      <c r="G83" s="19">
        <f t="shared" si="42"/>
        <v>0</v>
      </c>
      <c r="H83" s="19">
        <f t="shared" si="42"/>
        <v>0</v>
      </c>
      <c r="I83" s="19">
        <f t="shared" si="42"/>
        <v>0</v>
      </c>
      <c r="J83" s="19">
        <f t="shared" si="42"/>
        <v>0</v>
      </c>
      <c r="K83" s="19">
        <f t="shared" si="42"/>
        <v>0</v>
      </c>
      <c r="L83" s="19">
        <f t="shared" si="22"/>
        <v>0</v>
      </c>
      <c r="M83" s="93"/>
    </row>
    <row r="84" spans="1:13">
      <c r="A84" s="90" t="s">
        <v>212</v>
      </c>
      <c r="B84" s="91" t="s">
        <v>220</v>
      </c>
      <c r="C84" s="91" t="s">
        <v>35</v>
      </c>
      <c r="D84" s="102" t="s">
        <v>135</v>
      </c>
      <c r="E84" s="99"/>
      <c r="F84" s="99"/>
      <c r="G84" s="99"/>
      <c r="H84" s="99"/>
      <c r="I84" s="99"/>
      <c r="J84" s="99"/>
      <c r="K84" s="99"/>
      <c r="L84" s="19">
        <f t="shared" si="22"/>
        <v>0</v>
      </c>
      <c r="M84" s="98"/>
    </row>
    <row r="85" spans="1:13">
      <c r="A85" s="90" t="s">
        <v>215</v>
      </c>
      <c r="B85" s="91" t="s">
        <v>222</v>
      </c>
      <c r="C85" s="91" t="s">
        <v>35</v>
      </c>
      <c r="D85" s="92" t="s">
        <v>223</v>
      </c>
      <c r="E85" s="99"/>
      <c r="F85" s="99"/>
      <c r="G85" s="99"/>
      <c r="H85" s="99"/>
      <c r="I85" s="99"/>
      <c r="J85" s="99"/>
      <c r="K85" s="99"/>
      <c r="L85" s="19">
        <f t="shared" si="22"/>
        <v>0</v>
      </c>
      <c r="M85" s="98"/>
    </row>
    <row r="86" spans="1:13">
      <c r="A86" s="90" t="s">
        <v>217</v>
      </c>
      <c r="B86" s="91" t="s">
        <v>225</v>
      </c>
      <c r="C86" s="91"/>
      <c r="D86" s="92" t="s">
        <v>28</v>
      </c>
      <c r="E86" s="19">
        <f t="shared" ref="E86:K86" si="43">E87+E88</f>
        <v>259600</v>
      </c>
      <c r="F86" s="19">
        <f t="shared" si="43"/>
        <v>344560</v>
      </c>
      <c r="G86" s="19">
        <f t="shared" si="43"/>
        <v>0</v>
      </c>
      <c r="H86" s="19">
        <f t="shared" si="43"/>
        <v>37760</v>
      </c>
      <c r="I86" s="19">
        <f t="shared" si="43"/>
        <v>14160</v>
      </c>
      <c r="J86" s="19">
        <f t="shared" si="43"/>
        <v>0</v>
      </c>
      <c r="K86" s="19">
        <f t="shared" si="43"/>
        <v>0</v>
      </c>
      <c r="L86" s="19">
        <f t="shared" si="22"/>
        <v>656080</v>
      </c>
      <c r="M86" s="93"/>
    </row>
    <row r="87" spans="1:13" s="96" customFormat="1" ht="22.5">
      <c r="A87" s="90" t="s">
        <v>219</v>
      </c>
      <c r="B87" s="95" t="s">
        <v>227</v>
      </c>
      <c r="C87" s="95" t="s">
        <v>35</v>
      </c>
      <c r="D87" s="103" t="s">
        <v>228</v>
      </c>
      <c r="E87" s="19">
        <f t="shared" ref="E87:K87" si="44">E104*400</f>
        <v>22000</v>
      </c>
      <c r="F87" s="19">
        <f t="shared" si="44"/>
        <v>29200</v>
      </c>
      <c r="G87" s="19">
        <f t="shared" si="44"/>
        <v>0</v>
      </c>
      <c r="H87" s="19">
        <f t="shared" si="44"/>
        <v>3200</v>
      </c>
      <c r="I87" s="19">
        <f t="shared" si="44"/>
        <v>1200</v>
      </c>
      <c r="J87" s="19">
        <f t="shared" si="44"/>
        <v>0</v>
      </c>
      <c r="K87" s="19">
        <f t="shared" si="44"/>
        <v>0</v>
      </c>
      <c r="L87" s="19">
        <f t="shared" si="22"/>
        <v>55600</v>
      </c>
      <c r="M87" s="93"/>
    </row>
    <row r="88" spans="1:13" s="96" customFormat="1" ht="22.5">
      <c r="A88" s="90" t="s">
        <v>221</v>
      </c>
      <c r="B88" s="95" t="s">
        <v>230</v>
      </c>
      <c r="C88" s="95" t="s">
        <v>35</v>
      </c>
      <c r="D88" s="103" t="s">
        <v>231</v>
      </c>
      <c r="E88" s="19">
        <f t="shared" ref="E88:K88" si="45">E104*4320</f>
        <v>237600</v>
      </c>
      <c r="F88" s="19">
        <f t="shared" si="45"/>
        <v>315360</v>
      </c>
      <c r="G88" s="19">
        <f t="shared" si="45"/>
        <v>0</v>
      </c>
      <c r="H88" s="19">
        <f t="shared" si="45"/>
        <v>34560</v>
      </c>
      <c r="I88" s="19">
        <f t="shared" si="45"/>
        <v>12960</v>
      </c>
      <c r="J88" s="19">
        <f t="shared" si="45"/>
        <v>0</v>
      </c>
      <c r="K88" s="19">
        <f t="shared" si="45"/>
        <v>0</v>
      </c>
      <c r="L88" s="19">
        <f t="shared" si="22"/>
        <v>600480</v>
      </c>
      <c r="M88" s="93"/>
    </row>
    <row r="89" spans="1:13">
      <c r="A89" s="90" t="s">
        <v>224</v>
      </c>
      <c r="B89" s="91" t="s">
        <v>233</v>
      </c>
      <c r="C89" s="91" t="s">
        <v>35</v>
      </c>
      <c r="D89" s="102" t="s">
        <v>135</v>
      </c>
      <c r="E89" s="104"/>
      <c r="F89" s="104"/>
      <c r="G89" s="104"/>
      <c r="H89" s="104"/>
      <c r="I89" s="104"/>
      <c r="J89" s="104"/>
      <c r="K89" s="104"/>
      <c r="L89" s="19">
        <f t="shared" si="22"/>
        <v>0</v>
      </c>
      <c r="M89" s="98"/>
    </row>
    <row r="90" spans="1:13">
      <c r="A90" s="90" t="s">
        <v>226</v>
      </c>
      <c r="B90" s="91" t="s">
        <v>235</v>
      </c>
      <c r="C90" s="91"/>
      <c r="D90" s="92" t="s">
        <v>28</v>
      </c>
      <c r="E90" s="19">
        <f t="shared" ref="E90:K90" si="46">E91</f>
        <v>0</v>
      </c>
      <c r="F90" s="19">
        <f t="shared" si="46"/>
        <v>0</v>
      </c>
      <c r="G90" s="19">
        <f t="shared" si="46"/>
        <v>32000</v>
      </c>
      <c r="H90" s="19">
        <f t="shared" si="46"/>
        <v>32000</v>
      </c>
      <c r="I90" s="19">
        <f t="shared" si="46"/>
        <v>32000</v>
      </c>
      <c r="J90" s="19">
        <f t="shared" si="46"/>
        <v>32000</v>
      </c>
      <c r="K90" s="19">
        <f t="shared" si="46"/>
        <v>32000</v>
      </c>
      <c r="L90" s="19">
        <f t="shared" ref="L90:L106" si="47">SUM(E90:K90)</f>
        <v>160000</v>
      </c>
      <c r="M90" s="93"/>
    </row>
    <row r="91" spans="1:13" ht="68.25" thickBot="1">
      <c r="A91" s="90" t="s">
        <v>229</v>
      </c>
      <c r="B91" s="105" t="s">
        <v>237</v>
      </c>
      <c r="C91" s="91" t="s">
        <v>35</v>
      </c>
      <c r="D91" s="106" t="s">
        <v>238</v>
      </c>
      <c r="E91" s="107"/>
      <c r="F91" s="107"/>
      <c r="G91" s="107">
        <v>32000</v>
      </c>
      <c r="H91" s="107">
        <v>32000</v>
      </c>
      <c r="I91" s="107">
        <v>32000</v>
      </c>
      <c r="J91" s="107">
        <v>32000</v>
      </c>
      <c r="K91" s="107">
        <v>32000</v>
      </c>
      <c r="L91" s="19">
        <f t="shared" si="47"/>
        <v>160000</v>
      </c>
      <c r="M91" s="108"/>
    </row>
    <row r="92" spans="1:13" ht="23.25" customHeight="1" thickTop="1">
      <c r="A92" s="90" t="s">
        <v>232</v>
      </c>
      <c r="B92" s="109" t="s">
        <v>240</v>
      </c>
      <c r="C92" s="109"/>
      <c r="D92" s="110"/>
      <c r="E92" s="111"/>
      <c r="F92" s="111"/>
      <c r="G92" s="111"/>
      <c r="H92" s="111"/>
      <c r="I92" s="111"/>
      <c r="J92" s="111"/>
      <c r="K92" s="111"/>
      <c r="L92" s="19">
        <f t="shared" si="47"/>
        <v>0</v>
      </c>
      <c r="M92" s="112"/>
    </row>
    <row r="93" spans="1:13" ht="22.5">
      <c r="A93" s="90" t="s">
        <v>234</v>
      </c>
      <c r="B93" s="91" t="s">
        <v>242</v>
      </c>
      <c r="C93" s="91"/>
      <c r="D93" s="92" t="s">
        <v>243</v>
      </c>
      <c r="E93" s="19">
        <f t="shared" ref="E93:K93" si="48">E94+E95+E96+E97</f>
        <v>80</v>
      </c>
      <c r="F93" s="19">
        <f t="shared" si="48"/>
        <v>68</v>
      </c>
      <c r="G93" s="19">
        <f t="shared" si="48"/>
        <v>32</v>
      </c>
      <c r="H93" s="19">
        <f t="shared" si="48"/>
        <v>16</v>
      </c>
      <c r="I93" s="19">
        <f t="shared" si="48"/>
        <v>33</v>
      </c>
      <c r="J93" s="19">
        <f t="shared" si="48"/>
        <v>50</v>
      </c>
      <c r="K93" s="19">
        <f t="shared" si="48"/>
        <v>5</v>
      </c>
      <c r="L93" s="19">
        <f t="shared" si="47"/>
        <v>284</v>
      </c>
      <c r="M93" s="93"/>
    </row>
    <row r="94" spans="1:13">
      <c r="A94" s="90" t="s">
        <v>236</v>
      </c>
      <c r="B94" s="113" t="s">
        <v>245</v>
      </c>
      <c r="C94" s="113"/>
      <c r="D94" s="98"/>
      <c r="E94" s="99">
        <v>80</v>
      </c>
      <c r="F94" s="99"/>
      <c r="G94" s="99"/>
      <c r="H94" s="99"/>
      <c r="I94" s="99"/>
      <c r="J94" s="99"/>
      <c r="K94" s="99"/>
      <c r="L94" s="19">
        <f t="shared" si="47"/>
        <v>80</v>
      </c>
      <c r="M94" s="93"/>
    </row>
    <row r="95" spans="1:13">
      <c r="A95" s="90" t="s">
        <v>239</v>
      </c>
      <c r="B95" s="113" t="s">
        <v>247</v>
      </c>
      <c r="C95" s="113"/>
      <c r="D95" s="92"/>
      <c r="E95" s="22"/>
      <c r="F95" s="22">
        <v>68</v>
      </c>
      <c r="G95" s="22">
        <v>32</v>
      </c>
      <c r="H95" s="22"/>
      <c r="I95" s="22"/>
      <c r="J95" s="22"/>
      <c r="K95" s="22"/>
      <c r="L95" s="19">
        <f t="shared" si="47"/>
        <v>100</v>
      </c>
      <c r="M95" s="93"/>
    </row>
    <row r="96" spans="1:13">
      <c r="A96" s="90" t="s">
        <v>241</v>
      </c>
      <c r="B96" s="113" t="s">
        <v>249</v>
      </c>
      <c r="C96" s="113"/>
      <c r="D96" s="98"/>
      <c r="E96" s="99"/>
      <c r="F96" s="99"/>
      <c r="G96" s="99"/>
      <c r="H96" s="99">
        <v>16</v>
      </c>
      <c r="I96" s="99">
        <v>33</v>
      </c>
      <c r="J96" s="99">
        <v>50</v>
      </c>
      <c r="K96" s="99"/>
      <c r="L96" s="19">
        <f t="shared" si="47"/>
        <v>99</v>
      </c>
      <c r="M96" s="93"/>
    </row>
    <row r="97" spans="1:13">
      <c r="A97" s="90" t="s">
        <v>244</v>
      </c>
      <c r="B97" s="113" t="s">
        <v>251</v>
      </c>
      <c r="C97" s="113"/>
      <c r="D97" s="98"/>
      <c r="E97" s="99"/>
      <c r="F97" s="99"/>
      <c r="G97" s="99"/>
      <c r="H97" s="99"/>
      <c r="I97" s="99"/>
      <c r="J97" s="99"/>
      <c r="K97" s="99">
        <v>5</v>
      </c>
      <c r="L97" s="19">
        <f t="shared" si="47"/>
        <v>5</v>
      </c>
      <c r="M97" s="93"/>
    </row>
    <row r="98" spans="1:13" ht="22.5">
      <c r="A98" s="90" t="s">
        <v>246</v>
      </c>
      <c r="B98" s="91" t="s">
        <v>253</v>
      </c>
      <c r="C98" s="91"/>
      <c r="D98" s="92" t="s">
        <v>254</v>
      </c>
      <c r="E98" s="19">
        <f t="shared" ref="E98:K98" si="49">E99+E100+E101+E102</f>
        <v>688</v>
      </c>
      <c r="F98" s="19">
        <f t="shared" si="49"/>
        <v>945</v>
      </c>
      <c r="G98" s="19">
        <f t="shared" si="49"/>
        <v>416</v>
      </c>
      <c r="H98" s="19">
        <f t="shared" si="49"/>
        <v>73</v>
      </c>
      <c r="I98" s="19">
        <f t="shared" si="49"/>
        <v>353</v>
      </c>
      <c r="J98" s="19">
        <f t="shared" si="49"/>
        <v>673</v>
      </c>
      <c r="K98" s="19">
        <f t="shared" si="49"/>
        <v>0</v>
      </c>
      <c r="L98" s="19">
        <f t="shared" si="47"/>
        <v>3148</v>
      </c>
      <c r="M98" s="93"/>
    </row>
    <row r="99" spans="1:13">
      <c r="A99" s="90" t="s">
        <v>248</v>
      </c>
      <c r="B99" s="113" t="s">
        <v>245</v>
      </c>
      <c r="C99" s="113"/>
      <c r="D99" s="98"/>
      <c r="E99" s="99">
        <v>688</v>
      </c>
      <c r="F99" s="99"/>
      <c r="G99" s="99"/>
      <c r="H99" s="99"/>
      <c r="I99" s="99"/>
      <c r="J99" s="99"/>
      <c r="K99" s="99"/>
      <c r="L99" s="19">
        <f t="shared" si="47"/>
        <v>688</v>
      </c>
      <c r="M99" s="93"/>
    </row>
    <row r="100" spans="1:13">
      <c r="A100" s="90" t="s">
        <v>250</v>
      </c>
      <c r="B100" s="113" t="s">
        <v>247</v>
      </c>
      <c r="C100" s="113"/>
      <c r="D100" s="92"/>
      <c r="E100" s="22"/>
      <c r="F100" s="22">
        <v>945</v>
      </c>
      <c r="G100" s="22">
        <v>416</v>
      </c>
      <c r="H100" s="22"/>
      <c r="I100" s="22"/>
      <c r="J100" s="22"/>
      <c r="K100" s="22"/>
      <c r="L100" s="19">
        <f t="shared" si="47"/>
        <v>1361</v>
      </c>
      <c r="M100" s="93"/>
    </row>
    <row r="101" spans="1:13">
      <c r="A101" s="90" t="s">
        <v>252</v>
      </c>
      <c r="B101" s="113" t="s">
        <v>249</v>
      </c>
      <c r="C101" s="113"/>
      <c r="D101" s="98"/>
      <c r="E101" s="99"/>
      <c r="F101" s="99"/>
      <c r="G101" s="99"/>
      <c r="H101" s="99">
        <v>73</v>
      </c>
      <c r="I101" s="99">
        <v>353</v>
      </c>
      <c r="J101" s="99">
        <v>673</v>
      </c>
      <c r="K101" s="99"/>
      <c r="L101" s="19">
        <f t="shared" si="47"/>
        <v>1099</v>
      </c>
      <c r="M101" s="93"/>
    </row>
    <row r="102" spans="1:13">
      <c r="A102" s="90" t="s">
        <v>255</v>
      </c>
      <c r="B102" s="113" t="s">
        <v>251</v>
      </c>
      <c r="C102" s="113"/>
      <c r="D102" s="98"/>
      <c r="E102" s="99"/>
      <c r="F102" s="99"/>
      <c r="G102" s="99"/>
      <c r="H102" s="99"/>
      <c r="I102" s="99"/>
      <c r="J102" s="99"/>
      <c r="K102" s="99"/>
      <c r="L102" s="19">
        <f t="shared" si="47"/>
        <v>0</v>
      </c>
      <c r="M102" s="93"/>
    </row>
    <row r="103" spans="1:13">
      <c r="A103" s="90" t="s">
        <v>256</v>
      </c>
      <c r="B103" s="91" t="s">
        <v>260</v>
      </c>
      <c r="C103" s="91"/>
      <c r="D103" s="102"/>
      <c r="E103" s="114"/>
      <c r="F103" s="114"/>
      <c r="G103" s="114"/>
      <c r="H103" s="114"/>
      <c r="I103" s="114"/>
      <c r="J103" s="114"/>
      <c r="K103" s="114"/>
      <c r="L103" s="19">
        <f t="shared" si="47"/>
        <v>0</v>
      </c>
      <c r="M103" s="93"/>
    </row>
    <row r="104" spans="1:13">
      <c r="A104" s="90" t="s">
        <v>257</v>
      </c>
      <c r="B104" s="91" t="s">
        <v>261</v>
      </c>
      <c r="C104" s="91"/>
      <c r="D104" s="92"/>
      <c r="E104" s="22">
        <v>55</v>
      </c>
      <c r="F104" s="22">
        <v>73</v>
      </c>
      <c r="G104" s="22"/>
      <c r="H104" s="22">
        <v>8</v>
      </c>
      <c r="I104" s="22">
        <v>3</v>
      </c>
      <c r="J104" s="22"/>
      <c r="K104" s="22"/>
      <c r="L104" s="19">
        <f t="shared" si="47"/>
        <v>139</v>
      </c>
      <c r="M104" s="93"/>
    </row>
    <row r="105" spans="1:13">
      <c r="A105" s="90" t="s">
        <v>258</v>
      </c>
      <c r="B105" s="113" t="s">
        <v>262</v>
      </c>
      <c r="C105" s="113"/>
      <c r="D105" s="102"/>
      <c r="E105" s="22">
        <v>34676.83</v>
      </c>
      <c r="F105" s="22">
        <v>6698.1</v>
      </c>
      <c r="G105" s="22">
        <v>20502</v>
      </c>
      <c r="H105" s="22">
        <v>1515</v>
      </c>
      <c r="I105" s="22">
        <v>5789.3</v>
      </c>
      <c r="J105" s="22">
        <v>14972.68</v>
      </c>
      <c r="K105" s="22">
        <v>3000</v>
      </c>
      <c r="L105" s="19">
        <f t="shared" si="47"/>
        <v>87153.91</v>
      </c>
      <c r="M105" s="93"/>
    </row>
    <row r="106" spans="1:13">
      <c r="A106" s="90" t="s">
        <v>259</v>
      </c>
      <c r="B106" s="113" t="s">
        <v>263</v>
      </c>
      <c r="C106" s="113"/>
      <c r="D106" s="102"/>
      <c r="E106" s="22">
        <v>22358</v>
      </c>
      <c r="F106" s="22">
        <v>5066</v>
      </c>
      <c r="G106" s="22">
        <v>9640</v>
      </c>
      <c r="H106" s="22">
        <v>200</v>
      </c>
      <c r="I106" s="22">
        <v>3500</v>
      </c>
      <c r="J106" s="22">
        <v>8305</v>
      </c>
      <c r="K106" s="22">
        <v>3000</v>
      </c>
      <c r="L106" s="19">
        <f t="shared" si="47"/>
        <v>52069</v>
      </c>
      <c r="M106" s="93"/>
    </row>
    <row r="107" spans="1:13">
      <c r="E107" s="86">
        <f t="shared" ref="E107:L107" si="50">E4/E93</f>
        <v>368764.26049999997</v>
      </c>
      <c r="F107" s="86">
        <f t="shared" si="50"/>
        <v>352383.20661764714</v>
      </c>
      <c r="G107" s="86">
        <f t="shared" si="50"/>
        <v>337639.95000000007</v>
      </c>
      <c r="H107" s="86">
        <f t="shared" si="50"/>
        <v>321027.63187499996</v>
      </c>
      <c r="I107" s="86">
        <f t="shared" si="50"/>
        <v>314729.22666666668</v>
      </c>
      <c r="J107" s="86">
        <f t="shared" si="50"/>
        <v>296739.05199999997</v>
      </c>
      <c r="K107" s="86">
        <f t="shared" si="50"/>
        <v>368604.71799999999</v>
      </c>
      <c r="L107" s="86">
        <f t="shared" si="50"/>
        <v>339683.66221830988</v>
      </c>
    </row>
  </sheetData>
  <protectedRanges>
    <protectedRange password="E9C1" sqref="D28 L21:M26 M20 L4:M9 M10 M27 A2:M3 A4:D5 L11:M19 B6:D26 L28:M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M1"/>
  </mergeCells>
  <phoneticPr fontId="3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7"/>
  <sheetViews>
    <sheetView workbookViewId="0">
      <pane xSplit="4" ySplit="2" topLeftCell="Q77" activePane="bottomRight" state="frozen"/>
      <selection pane="topRight" activeCell="E1" sqref="E1"/>
      <selection pane="bottomLeft" activeCell="A3" sqref="A3"/>
      <selection pane="bottomRight" activeCell="Y3" sqref="Y3:Y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26" ht="25.5">
      <c r="A1" s="343" t="s">
        <v>264</v>
      </c>
      <c r="B1" s="344"/>
      <c r="C1" s="344"/>
      <c r="D1" s="344"/>
      <c r="E1" s="344"/>
      <c r="F1" s="344"/>
      <c r="G1" s="344"/>
      <c r="H1" s="344"/>
      <c r="I1" s="344"/>
      <c r="J1" s="344"/>
      <c r="K1" s="344"/>
      <c r="L1" s="344"/>
      <c r="M1" s="344"/>
      <c r="N1" s="344"/>
      <c r="O1" s="344"/>
      <c r="P1" s="344"/>
      <c r="Q1" s="344"/>
      <c r="R1" s="344"/>
      <c r="S1" s="344"/>
      <c r="T1" s="344"/>
      <c r="U1" s="344"/>
      <c r="V1" s="344"/>
      <c r="W1" s="344"/>
      <c r="X1" s="344"/>
      <c r="Y1" s="344"/>
      <c r="Z1" s="344"/>
    </row>
    <row r="2" spans="1:26" ht="30" customHeight="1">
      <c r="A2" s="2" t="s">
        <v>1</v>
      </c>
      <c r="B2" s="2" t="s">
        <v>2</v>
      </c>
      <c r="C2" s="2" t="s">
        <v>3</v>
      </c>
      <c r="D2" s="3" t="s">
        <v>4</v>
      </c>
      <c r="E2" s="40" t="s">
        <v>546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  <c r="K2" s="3" t="s">
        <v>10</v>
      </c>
      <c r="L2" s="3" t="s">
        <v>11</v>
      </c>
      <c r="M2" s="3" t="s">
        <v>12</v>
      </c>
      <c r="N2" s="3" t="s">
        <v>13</v>
      </c>
      <c r="O2" s="3" t="s">
        <v>14</v>
      </c>
      <c r="P2" s="3" t="s">
        <v>15</v>
      </c>
      <c r="Q2" s="3" t="s">
        <v>16</v>
      </c>
      <c r="R2" s="3" t="s">
        <v>17</v>
      </c>
      <c r="S2" s="3" t="s">
        <v>18</v>
      </c>
      <c r="T2" s="3" t="s">
        <v>19</v>
      </c>
      <c r="U2" s="3" t="s">
        <v>20</v>
      </c>
      <c r="V2" s="3" t="s">
        <v>21</v>
      </c>
      <c r="W2" s="3" t="s">
        <v>22</v>
      </c>
      <c r="X2" s="3" t="s">
        <v>23</v>
      </c>
      <c r="Y2" s="3" t="s">
        <v>24</v>
      </c>
      <c r="Z2" s="4" t="s">
        <v>25</v>
      </c>
    </row>
    <row r="3" spans="1:26">
      <c r="A3" s="5" t="s">
        <v>26</v>
      </c>
      <c r="B3" s="6" t="s">
        <v>27</v>
      </c>
      <c r="C3" s="6"/>
      <c r="D3" s="7" t="s">
        <v>28</v>
      </c>
      <c r="E3" s="8">
        <f t="shared" ref="E3:X3" si="0">E4+E30+E49</f>
        <v>38765939.359999999</v>
      </c>
      <c r="F3" s="8">
        <f t="shared" si="0"/>
        <v>56633440.209999993</v>
      </c>
      <c r="G3" s="8">
        <f t="shared" si="0"/>
        <v>111879670.57000001</v>
      </c>
      <c r="H3" s="8">
        <f t="shared" si="0"/>
        <v>24265384.860000003</v>
      </c>
      <c r="I3" s="8">
        <f t="shared" si="0"/>
        <v>6143210.8600000003</v>
      </c>
      <c r="J3" s="8">
        <f t="shared" si="0"/>
        <v>7660654.5700000003</v>
      </c>
      <c r="K3" s="8">
        <f t="shared" si="0"/>
        <v>28895740.710000001</v>
      </c>
      <c r="L3" s="8">
        <f t="shared" si="0"/>
        <v>36188164.43</v>
      </c>
      <c r="M3" s="8">
        <f t="shared" si="0"/>
        <v>141797140.71000001</v>
      </c>
      <c r="N3" s="8">
        <f t="shared" si="0"/>
        <v>10796882.289999999</v>
      </c>
      <c r="O3" s="8">
        <f t="shared" si="0"/>
        <v>15843503</v>
      </c>
      <c r="P3" s="8">
        <f t="shared" si="0"/>
        <v>40889917.43</v>
      </c>
      <c r="Q3" s="8">
        <f t="shared" si="0"/>
        <v>2880389.71</v>
      </c>
      <c r="R3" s="8">
        <f t="shared" si="0"/>
        <v>50750254.57</v>
      </c>
      <c r="S3" s="8">
        <f t="shared" si="0"/>
        <v>16833771.859999999</v>
      </c>
      <c r="T3" s="8">
        <f t="shared" si="0"/>
        <v>18699787.460000001</v>
      </c>
      <c r="U3" s="8">
        <f t="shared" si="0"/>
        <v>25301419.859999996</v>
      </c>
      <c r="V3" s="8">
        <f t="shared" si="0"/>
        <v>32445915.57</v>
      </c>
      <c r="W3" s="8">
        <f t="shared" si="0"/>
        <v>2849239.29</v>
      </c>
      <c r="X3" s="8">
        <f t="shared" si="0"/>
        <v>17607235.43</v>
      </c>
      <c r="Y3" s="8">
        <f t="shared" ref="Y3:Y9" si="1">SUM(E3:X3)</f>
        <v>687127662.75</v>
      </c>
      <c r="Z3" s="9"/>
    </row>
    <row r="4" spans="1:26">
      <c r="A4" s="5" t="s">
        <v>29</v>
      </c>
      <c r="B4" s="6" t="s">
        <v>30</v>
      </c>
      <c r="C4" s="6"/>
      <c r="D4" s="7" t="s">
        <v>28</v>
      </c>
      <c r="E4" s="8">
        <f t="shared" ref="E4:X4" si="2">E5+E8+E12+E15+E18+E20+E23+E25+E27+E28+E29</f>
        <v>33625418.5</v>
      </c>
      <c r="F4" s="8">
        <f t="shared" si="2"/>
        <v>47512582.399999999</v>
      </c>
      <c r="G4" s="8">
        <f t="shared" si="2"/>
        <v>97275571.350000009</v>
      </c>
      <c r="H4" s="8">
        <f t="shared" si="2"/>
        <v>21123629.950000003</v>
      </c>
      <c r="I4" s="8">
        <f t="shared" si="2"/>
        <v>4988503</v>
      </c>
      <c r="J4" s="8">
        <f t="shared" si="2"/>
        <v>6476029.2000000002</v>
      </c>
      <c r="K4" s="8">
        <f t="shared" si="2"/>
        <v>25669567</v>
      </c>
      <c r="L4" s="8">
        <f t="shared" si="2"/>
        <v>31323832.949999999</v>
      </c>
      <c r="M4" s="8">
        <f t="shared" si="2"/>
        <v>119843198.60000001</v>
      </c>
      <c r="N4" s="8">
        <f t="shared" si="2"/>
        <v>9315145.1999999993</v>
      </c>
      <c r="O4" s="8">
        <f t="shared" si="2"/>
        <v>13732215</v>
      </c>
      <c r="P4" s="8">
        <f t="shared" si="2"/>
        <v>34971636.049999997</v>
      </c>
      <c r="Q4" s="8">
        <f t="shared" si="2"/>
        <v>1884444.4000000001</v>
      </c>
      <c r="R4" s="8">
        <f t="shared" si="2"/>
        <v>42753857.850000001</v>
      </c>
      <c r="S4" s="8">
        <f t="shared" si="2"/>
        <v>14725975</v>
      </c>
      <c r="T4" s="8">
        <f t="shared" si="2"/>
        <v>15254241</v>
      </c>
      <c r="U4" s="8">
        <f t="shared" si="2"/>
        <v>21861041.549999997</v>
      </c>
      <c r="V4" s="8">
        <f t="shared" si="2"/>
        <v>28234179.699999999</v>
      </c>
      <c r="W4" s="8">
        <f t="shared" si="2"/>
        <v>2512997</v>
      </c>
      <c r="X4" s="8">
        <f t="shared" si="2"/>
        <v>14839628.399999999</v>
      </c>
      <c r="Y4" s="8">
        <f t="shared" si="1"/>
        <v>587923694.10000002</v>
      </c>
      <c r="Z4" s="9"/>
    </row>
    <row r="5" spans="1:26">
      <c r="A5" s="5" t="s">
        <v>31</v>
      </c>
      <c r="B5" s="6" t="s">
        <v>32</v>
      </c>
      <c r="C5" s="6"/>
      <c r="D5" s="7" t="s">
        <v>28</v>
      </c>
      <c r="E5" s="8">
        <f>E6+E7</f>
        <v>4504800.09</v>
      </c>
      <c r="F5" s="8">
        <f>F6+F7</f>
        <v>5478000.8100000005</v>
      </c>
      <c r="G5" s="8">
        <f t="shared" ref="G5:X5" si="3">G6+G7</f>
        <v>13733004.92</v>
      </c>
      <c r="H5" s="8">
        <f t="shared" si="3"/>
        <v>2996232.2800000003</v>
      </c>
      <c r="I5" s="8">
        <f t="shared" si="3"/>
        <v>616284.17999999993</v>
      </c>
      <c r="J5" s="8">
        <f t="shared" si="3"/>
        <v>796740.24</v>
      </c>
      <c r="K5" s="8">
        <f t="shared" si="3"/>
        <v>3642997.34</v>
      </c>
      <c r="L5" s="8">
        <f t="shared" si="3"/>
        <v>4480219.6400000006</v>
      </c>
      <c r="M5" s="8">
        <f t="shared" si="3"/>
        <v>15521112.369999999</v>
      </c>
      <c r="N5" s="8">
        <f t="shared" si="3"/>
        <v>1175112.8999999999</v>
      </c>
      <c r="O5" s="8">
        <f t="shared" si="3"/>
        <v>1993140.5</v>
      </c>
      <c r="P5" s="8">
        <f t="shared" si="3"/>
        <v>4493892.5299999993</v>
      </c>
      <c r="Q5" s="8">
        <f t="shared" si="3"/>
        <v>253296.41</v>
      </c>
      <c r="R5" s="8">
        <f t="shared" si="3"/>
        <v>5220012.7300000004</v>
      </c>
      <c r="S5" s="8">
        <f t="shared" si="3"/>
        <v>2161116.08</v>
      </c>
      <c r="T5" s="8">
        <f t="shared" si="3"/>
        <v>2164176.96</v>
      </c>
      <c r="U5" s="8">
        <f t="shared" si="3"/>
        <v>2990964.1</v>
      </c>
      <c r="V5" s="8">
        <f t="shared" si="3"/>
        <v>4068312.82</v>
      </c>
      <c r="W5" s="8">
        <f t="shared" si="3"/>
        <v>340788.29000000004</v>
      </c>
      <c r="X5" s="8">
        <f t="shared" si="3"/>
        <v>1907640.33</v>
      </c>
      <c r="Y5" s="8">
        <f t="shared" si="1"/>
        <v>78537845.519999981</v>
      </c>
      <c r="Z5" s="9"/>
    </row>
    <row r="6" spans="1:26">
      <c r="A6" s="5" t="s">
        <v>33</v>
      </c>
      <c r="B6" s="6" t="s">
        <v>34</v>
      </c>
      <c r="C6" s="6" t="s">
        <v>35</v>
      </c>
      <c r="D6" s="7" t="s">
        <v>36</v>
      </c>
      <c r="E6" s="10">
        <f>216400*12+0.09</f>
        <v>2596800.09</v>
      </c>
      <c r="F6" s="10">
        <f>285500*12+0.81</f>
        <v>3426000.81</v>
      </c>
      <c r="G6" s="10">
        <f>642871*12+0.92</f>
        <v>7714452.9199999999</v>
      </c>
      <c r="H6" s="10">
        <f>129982*12+0.28</f>
        <v>1559784.28</v>
      </c>
      <c r="I6" s="10">
        <f>33132*12+0.18</f>
        <v>397584.18</v>
      </c>
      <c r="J6" s="10">
        <f>43054*12+0.24</f>
        <v>516648.24</v>
      </c>
      <c r="K6" s="10">
        <f>171591*12+0.7</f>
        <v>2059092.7</v>
      </c>
      <c r="L6" s="10">
        <f>210069.6*12+0.44</f>
        <v>2520835.64</v>
      </c>
      <c r="M6" s="10">
        <f>760620*12+0.37</f>
        <v>9127440.3699999992</v>
      </c>
      <c r="N6" s="10">
        <f>61254*12+0.9</f>
        <v>735048.9</v>
      </c>
      <c r="O6" s="10">
        <f>1104180+0.5</f>
        <v>1104180.5</v>
      </c>
      <c r="P6" s="10">
        <f>2829180+0.53</f>
        <v>2829180.53</v>
      </c>
      <c r="Q6" s="10">
        <f>161172+0.41</f>
        <v>161172.41</v>
      </c>
      <c r="R6" s="10">
        <f>270390*12+0.73</f>
        <v>3244680.73</v>
      </c>
      <c r="S6" s="10">
        <f>95933*12+0.08</f>
        <v>1151196.08</v>
      </c>
      <c r="T6" s="10">
        <f>106175*12+0.96</f>
        <v>1274100.96</v>
      </c>
      <c r="U6" s="10">
        <f>1584660+0.1</f>
        <v>1584660.1</v>
      </c>
      <c r="V6" s="10">
        <f>2189820+0.82</f>
        <v>2189820.8199999998</v>
      </c>
      <c r="W6" s="10">
        <f>179832+0.29</f>
        <v>179832.29</v>
      </c>
      <c r="X6" s="10">
        <f>103500*12+0.33</f>
        <v>1242000.33</v>
      </c>
      <c r="Y6" s="8">
        <f t="shared" si="1"/>
        <v>45614512.879999988</v>
      </c>
      <c r="Z6" s="11"/>
    </row>
    <row r="7" spans="1:26">
      <c r="A7" s="5" t="s">
        <v>37</v>
      </c>
      <c r="B7" s="6" t="s">
        <v>38</v>
      </c>
      <c r="C7" s="6" t="s">
        <v>35</v>
      </c>
      <c r="D7" s="7" t="s">
        <v>36</v>
      </c>
      <c r="E7" s="10">
        <f>159000*12</f>
        <v>1908000</v>
      </c>
      <c r="F7" s="10">
        <f>171000*12</f>
        <v>2052000</v>
      </c>
      <c r="G7" s="10">
        <f>501546*12</f>
        <v>6018552</v>
      </c>
      <c r="H7" s="10">
        <f>119704*12</f>
        <v>1436448</v>
      </c>
      <c r="I7" s="10">
        <f>18225*12</f>
        <v>218700</v>
      </c>
      <c r="J7" s="10">
        <f>23341*12</f>
        <v>280092</v>
      </c>
      <c r="K7" s="10">
        <f>131992*12+0.64</f>
        <v>1583904.64</v>
      </c>
      <c r="L7" s="10">
        <f>163282*12</f>
        <v>1959384</v>
      </c>
      <c r="M7" s="10">
        <f>532806*12</f>
        <v>6393672</v>
      </c>
      <c r="N7" s="10">
        <f>36672*12</f>
        <v>440064</v>
      </c>
      <c r="O7" s="10">
        <v>888960</v>
      </c>
      <c r="P7" s="10">
        <v>1664712</v>
      </c>
      <c r="Q7" s="10">
        <v>92124</v>
      </c>
      <c r="R7" s="10">
        <f>164611*12</f>
        <v>1975332</v>
      </c>
      <c r="S7" s="10">
        <f>84160*12</f>
        <v>1009920</v>
      </c>
      <c r="T7" s="10">
        <f>74173*12</f>
        <v>890076</v>
      </c>
      <c r="U7" s="10">
        <v>1406304</v>
      </c>
      <c r="V7" s="10">
        <v>1878492</v>
      </c>
      <c r="W7" s="10">
        <v>160956</v>
      </c>
      <c r="X7" s="10">
        <f>55470*12</f>
        <v>665640</v>
      </c>
      <c r="Y7" s="8">
        <f t="shared" si="1"/>
        <v>32923332.640000001</v>
      </c>
      <c r="Z7" s="9"/>
    </row>
    <row r="8" spans="1:26">
      <c r="A8" s="5" t="s">
        <v>39</v>
      </c>
      <c r="B8" s="6" t="s">
        <v>40</v>
      </c>
      <c r="C8" s="6"/>
      <c r="D8" s="7" t="s">
        <v>28</v>
      </c>
      <c r="E8" s="8">
        <f>E9+E10</f>
        <v>513636</v>
      </c>
      <c r="F8" s="8">
        <f>F9+F10</f>
        <v>734124</v>
      </c>
      <c r="G8" s="8">
        <f t="shared" ref="G8:X8" si="4">G9+G10</f>
        <v>1492248</v>
      </c>
      <c r="H8" s="8">
        <f t="shared" si="4"/>
        <v>321660</v>
      </c>
      <c r="I8" s="8">
        <f t="shared" si="4"/>
        <v>85344</v>
      </c>
      <c r="J8" s="8">
        <f t="shared" si="4"/>
        <v>111648</v>
      </c>
      <c r="K8" s="8">
        <f t="shared" si="4"/>
        <v>423576</v>
      </c>
      <c r="L8" s="8">
        <f t="shared" si="4"/>
        <v>525576</v>
      </c>
      <c r="M8" s="8">
        <f t="shared" si="4"/>
        <v>1832088</v>
      </c>
      <c r="N8" s="8">
        <f t="shared" si="4"/>
        <v>154788</v>
      </c>
      <c r="O8" s="8">
        <f t="shared" si="4"/>
        <v>230424</v>
      </c>
      <c r="P8" s="8">
        <f t="shared" si="4"/>
        <v>527928</v>
      </c>
      <c r="Q8" s="8">
        <f t="shared" si="4"/>
        <v>32124</v>
      </c>
      <c r="R8" s="8">
        <f t="shared" si="4"/>
        <v>661200</v>
      </c>
      <c r="S8" s="8">
        <f t="shared" si="4"/>
        <v>241356</v>
      </c>
      <c r="T8" s="8">
        <f t="shared" si="4"/>
        <v>234564</v>
      </c>
      <c r="U8" s="8">
        <f t="shared" si="4"/>
        <v>332256</v>
      </c>
      <c r="V8" s="8">
        <f t="shared" si="4"/>
        <v>418272</v>
      </c>
      <c r="W8" s="8">
        <f t="shared" si="4"/>
        <v>37428</v>
      </c>
      <c r="X8" s="8">
        <f t="shared" si="4"/>
        <v>256044</v>
      </c>
      <c r="Y8" s="8">
        <f t="shared" si="1"/>
        <v>9166284</v>
      </c>
      <c r="Z8" s="9"/>
    </row>
    <row r="9" spans="1:26">
      <c r="A9" s="5" t="s">
        <v>41</v>
      </c>
      <c r="B9" s="6" t="s">
        <v>42</v>
      </c>
      <c r="C9" s="6" t="s">
        <v>35</v>
      </c>
      <c r="D9" s="7" t="s">
        <v>36</v>
      </c>
      <c r="E9" s="10">
        <f>563*12</f>
        <v>6756</v>
      </c>
      <c r="F9" s="10">
        <f>457*12</f>
        <v>5484</v>
      </c>
      <c r="G9" s="10">
        <f>1594*12</f>
        <v>19128</v>
      </c>
      <c r="H9" s="10">
        <f>405*12</f>
        <v>4860</v>
      </c>
      <c r="I9" s="10">
        <f>72*12</f>
        <v>864</v>
      </c>
      <c r="J9" s="10">
        <f>64*12</f>
        <v>768</v>
      </c>
      <c r="K9" s="10">
        <f>538*12</f>
        <v>6456</v>
      </c>
      <c r="L9" s="10">
        <f>678*12</f>
        <v>8136</v>
      </c>
      <c r="M9" s="10">
        <f>1754*12</f>
        <v>21048</v>
      </c>
      <c r="N9" s="10">
        <f>139*12</f>
        <v>1668</v>
      </c>
      <c r="O9" s="10">
        <v>3384</v>
      </c>
      <c r="P9" s="10">
        <v>5208</v>
      </c>
      <c r="Q9" s="10">
        <v>444</v>
      </c>
      <c r="R9" s="10">
        <f>540*12</f>
        <v>6480</v>
      </c>
      <c r="S9" s="10">
        <f>313*12</f>
        <v>3756</v>
      </c>
      <c r="T9" s="10">
        <f>187*12</f>
        <v>2244</v>
      </c>
      <c r="U9" s="10">
        <v>4896</v>
      </c>
      <c r="V9" s="10">
        <v>6432</v>
      </c>
      <c r="W9" s="10">
        <v>468</v>
      </c>
      <c r="X9" s="10">
        <f>217*12</f>
        <v>2604</v>
      </c>
      <c r="Y9" s="8">
        <f t="shared" si="1"/>
        <v>111084</v>
      </c>
      <c r="Z9" s="9"/>
    </row>
    <row r="10" spans="1:26">
      <c r="A10" s="5" t="s">
        <v>43</v>
      </c>
      <c r="B10" s="6" t="s">
        <v>44</v>
      </c>
      <c r="C10" s="6"/>
      <c r="D10" s="7" t="s">
        <v>28</v>
      </c>
      <c r="E10" s="8">
        <f>E11</f>
        <v>506880</v>
      </c>
      <c r="F10" s="8">
        <f>F11</f>
        <v>728640</v>
      </c>
      <c r="G10" s="8">
        <f t="shared" ref="G10:Y10" si="5">G11</f>
        <v>1473120</v>
      </c>
      <c r="H10" s="8">
        <f t="shared" si="5"/>
        <v>316800</v>
      </c>
      <c r="I10" s="8">
        <f t="shared" si="5"/>
        <v>84480</v>
      </c>
      <c r="J10" s="8">
        <f t="shared" si="5"/>
        <v>110880</v>
      </c>
      <c r="K10" s="8">
        <f t="shared" si="5"/>
        <v>417120</v>
      </c>
      <c r="L10" s="8">
        <f t="shared" si="5"/>
        <v>517440</v>
      </c>
      <c r="M10" s="8">
        <f t="shared" si="5"/>
        <v>1811040</v>
      </c>
      <c r="N10" s="8">
        <f t="shared" si="5"/>
        <v>153120</v>
      </c>
      <c r="O10" s="8">
        <f t="shared" si="5"/>
        <v>227040</v>
      </c>
      <c r="P10" s="8">
        <f t="shared" si="5"/>
        <v>522720</v>
      </c>
      <c r="Q10" s="8">
        <f t="shared" si="5"/>
        <v>31680</v>
      </c>
      <c r="R10" s="8">
        <f t="shared" si="5"/>
        <v>654720</v>
      </c>
      <c r="S10" s="8">
        <f t="shared" si="5"/>
        <v>237600</v>
      </c>
      <c r="T10" s="8">
        <f t="shared" si="5"/>
        <v>232320</v>
      </c>
      <c r="U10" s="8">
        <f t="shared" si="5"/>
        <v>327360</v>
      </c>
      <c r="V10" s="8">
        <f t="shared" si="5"/>
        <v>411840</v>
      </c>
      <c r="W10" s="8">
        <f t="shared" si="5"/>
        <v>36960</v>
      </c>
      <c r="X10" s="8">
        <f t="shared" si="5"/>
        <v>253440</v>
      </c>
      <c r="Y10" s="8">
        <f t="shared" si="5"/>
        <v>9055200</v>
      </c>
      <c r="Z10" s="9"/>
    </row>
    <row r="11" spans="1:26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 t="shared" ref="E11:X11" si="6">440*12*E93</f>
        <v>506880</v>
      </c>
      <c r="F11" s="8">
        <f t="shared" si="6"/>
        <v>728640</v>
      </c>
      <c r="G11" s="8">
        <f t="shared" si="6"/>
        <v>1473120</v>
      </c>
      <c r="H11" s="8">
        <f t="shared" si="6"/>
        <v>316800</v>
      </c>
      <c r="I11" s="8">
        <f t="shared" si="6"/>
        <v>84480</v>
      </c>
      <c r="J11" s="8">
        <f t="shared" si="6"/>
        <v>110880</v>
      </c>
      <c r="K11" s="8">
        <f t="shared" si="6"/>
        <v>417120</v>
      </c>
      <c r="L11" s="8">
        <f t="shared" si="6"/>
        <v>517440</v>
      </c>
      <c r="M11" s="8">
        <f t="shared" si="6"/>
        <v>1811040</v>
      </c>
      <c r="N11" s="8">
        <f t="shared" si="6"/>
        <v>153120</v>
      </c>
      <c r="O11" s="8">
        <f t="shared" si="6"/>
        <v>227040</v>
      </c>
      <c r="P11" s="8">
        <f t="shared" si="6"/>
        <v>522720</v>
      </c>
      <c r="Q11" s="8">
        <f t="shared" si="6"/>
        <v>31680</v>
      </c>
      <c r="R11" s="8">
        <f t="shared" si="6"/>
        <v>654720</v>
      </c>
      <c r="S11" s="8">
        <f t="shared" si="6"/>
        <v>237600</v>
      </c>
      <c r="T11" s="8">
        <f t="shared" si="6"/>
        <v>232320</v>
      </c>
      <c r="U11" s="8">
        <f t="shared" si="6"/>
        <v>327360</v>
      </c>
      <c r="V11" s="8">
        <f t="shared" si="6"/>
        <v>411840</v>
      </c>
      <c r="W11" s="8">
        <f t="shared" si="6"/>
        <v>36960</v>
      </c>
      <c r="X11" s="8">
        <f t="shared" si="6"/>
        <v>253440</v>
      </c>
      <c r="Y11" s="8">
        <f t="shared" ref="Y11:Y26" si="7">SUM(E11:X11)</f>
        <v>9055200</v>
      </c>
      <c r="Z11" s="9"/>
    </row>
    <row r="12" spans="1:26">
      <c r="A12" s="5" t="s">
        <v>47</v>
      </c>
      <c r="B12" s="6" t="s">
        <v>48</v>
      </c>
      <c r="C12" s="6"/>
      <c r="D12" s="7" t="s">
        <v>49</v>
      </c>
      <c r="E12" s="8">
        <f>E13+E14</f>
        <v>157982.40000000002</v>
      </c>
      <c r="F12" s="8">
        <f t="shared" ref="F12:X12" si="8">F13+F14</f>
        <v>230007.59999999998</v>
      </c>
      <c r="G12" s="8">
        <f t="shared" si="8"/>
        <v>441342.43000000005</v>
      </c>
      <c r="H12" s="8">
        <f t="shared" si="8"/>
        <v>97535.66</v>
      </c>
      <c r="I12" s="8">
        <f t="shared" si="8"/>
        <v>22836.809999999998</v>
      </c>
      <c r="J12" s="8">
        <f t="shared" si="8"/>
        <v>29010.959999999999</v>
      </c>
      <c r="K12" s="8">
        <f t="shared" si="8"/>
        <v>119891.66999999998</v>
      </c>
      <c r="L12" s="8">
        <f t="shared" si="8"/>
        <v>140871.31</v>
      </c>
      <c r="M12" s="8">
        <f t="shared" si="8"/>
        <v>569028.24</v>
      </c>
      <c r="N12" s="8">
        <f t="shared" si="8"/>
        <v>44910.29</v>
      </c>
      <c r="O12" s="8">
        <f t="shared" si="8"/>
        <v>61172.5</v>
      </c>
      <c r="P12" s="8">
        <f t="shared" si="8"/>
        <v>170255.52000000002</v>
      </c>
      <c r="Q12" s="8">
        <f t="shared" si="8"/>
        <v>8424</v>
      </c>
      <c r="R12" s="8">
        <f t="shared" si="8"/>
        <v>202785.12</v>
      </c>
      <c r="S12" s="8">
        <f t="shared" si="8"/>
        <v>68586.91</v>
      </c>
      <c r="T12" s="8">
        <f t="shared" si="8"/>
        <v>68224.03</v>
      </c>
      <c r="U12" s="8">
        <f t="shared" si="8"/>
        <v>103051.44</v>
      </c>
      <c r="V12" s="8">
        <f t="shared" si="8"/>
        <v>136604.88</v>
      </c>
      <c r="W12" s="8">
        <f t="shared" si="8"/>
        <v>12958.7</v>
      </c>
      <c r="X12" s="8">
        <f t="shared" si="8"/>
        <v>65492.07</v>
      </c>
      <c r="Y12" s="8">
        <f t="shared" si="7"/>
        <v>2750972.54</v>
      </c>
      <c r="Z12" s="9"/>
    </row>
    <row r="13" spans="1:26" s="13" customFormat="1">
      <c r="A13" s="5" t="s">
        <v>50</v>
      </c>
      <c r="B13" s="49" t="s">
        <v>584</v>
      </c>
      <c r="C13" s="12" t="s">
        <v>35</v>
      </c>
      <c r="D13" s="9" t="s">
        <v>51</v>
      </c>
      <c r="E13" s="8">
        <f>ROUND(E28/0.07*0.00256,2)</f>
        <v>53496.69</v>
      </c>
      <c r="F13" s="8">
        <f>ROUND(F28/0.07*0.00256,2)</f>
        <v>77886.17</v>
      </c>
      <c r="G13" s="8">
        <f t="shared" ref="G13:X13" si="9">ROUND(G28/0.07*0.00256,2)</f>
        <v>149449.29</v>
      </c>
      <c r="H13" s="8">
        <f t="shared" si="9"/>
        <v>33027.949999999997</v>
      </c>
      <c r="I13" s="8">
        <f t="shared" si="9"/>
        <v>7733.1</v>
      </c>
      <c r="J13" s="8">
        <f t="shared" si="9"/>
        <v>9823.82</v>
      </c>
      <c r="K13" s="8">
        <f t="shared" si="9"/>
        <v>40598.239999999998</v>
      </c>
      <c r="L13" s="8">
        <f t="shared" si="9"/>
        <v>47702.45</v>
      </c>
      <c r="M13" s="8">
        <f t="shared" si="9"/>
        <v>192686.81</v>
      </c>
      <c r="N13" s="8">
        <f t="shared" si="9"/>
        <v>15207.72</v>
      </c>
      <c r="O13" s="8">
        <f t="shared" si="9"/>
        <v>20714.5</v>
      </c>
      <c r="P13" s="8">
        <f t="shared" si="9"/>
        <v>57652.66</v>
      </c>
      <c r="Q13" s="8">
        <f t="shared" si="9"/>
        <v>2852.57</v>
      </c>
      <c r="R13" s="8">
        <f t="shared" si="9"/>
        <v>68667.98</v>
      </c>
      <c r="S13" s="8">
        <f t="shared" si="9"/>
        <v>23225.200000000001</v>
      </c>
      <c r="T13" s="8">
        <f t="shared" si="9"/>
        <v>23102.32</v>
      </c>
      <c r="U13" s="8">
        <f t="shared" si="9"/>
        <v>34895.730000000003</v>
      </c>
      <c r="V13" s="8">
        <f t="shared" si="9"/>
        <v>46257.74</v>
      </c>
      <c r="W13" s="8">
        <f t="shared" si="9"/>
        <v>4388.13</v>
      </c>
      <c r="X13" s="8">
        <f t="shared" si="9"/>
        <v>22177.21</v>
      </c>
      <c r="Y13" s="8">
        <f t="shared" si="7"/>
        <v>931546.2799999998</v>
      </c>
      <c r="Z13" s="9"/>
    </row>
    <row r="14" spans="1:26" s="13" customFormat="1">
      <c r="A14" s="5" t="s">
        <v>52</v>
      </c>
      <c r="B14" s="49" t="s">
        <v>585</v>
      </c>
      <c r="C14" s="12" t="s">
        <v>35</v>
      </c>
      <c r="D14" s="9" t="s">
        <v>51</v>
      </c>
      <c r="E14" s="8">
        <f>ROUND(E28/0.07*0.005,2)</f>
        <v>104485.71</v>
      </c>
      <c r="F14" s="8">
        <f>ROUND(F28/0.07*0.005,2)</f>
        <v>152121.43</v>
      </c>
      <c r="G14" s="8">
        <f t="shared" ref="G14:X14" si="10">ROUND(G28/0.07*0.005,2)</f>
        <v>291893.14</v>
      </c>
      <c r="H14" s="8">
        <f t="shared" si="10"/>
        <v>64507.71</v>
      </c>
      <c r="I14" s="8">
        <f t="shared" si="10"/>
        <v>15103.71</v>
      </c>
      <c r="J14" s="8">
        <f t="shared" si="10"/>
        <v>19187.14</v>
      </c>
      <c r="K14" s="8">
        <f t="shared" si="10"/>
        <v>79293.429999999993</v>
      </c>
      <c r="L14" s="8">
        <f t="shared" si="10"/>
        <v>93168.86</v>
      </c>
      <c r="M14" s="8">
        <f t="shared" si="10"/>
        <v>376341.43</v>
      </c>
      <c r="N14" s="8">
        <f t="shared" si="10"/>
        <v>29702.57</v>
      </c>
      <c r="O14" s="8">
        <f t="shared" si="10"/>
        <v>40458</v>
      </c>
      <c r="P14" s="8">
        <f t="shared" si="10"/>
        <v>112602.86</v>
      </c>
      <c r="Q14" s="8">
        <f t="shared" si="10"/>
        <v>5571.43</v>
      </c>
      <c r="R14" s="8">
        <f t="shared" si="10"/>
        <v>134117.14000000001</v>
      </c>
      <c r="S14" s="8">
        <f t="shared" si="10"/>
        <v>45361.71</v>
      </c>
      <c r="T14" s="8">
        <f t="shared" si="10"/>
        <v>45121.71</v>
      </c>
      <c r="U14" s="8">
        <f t="shared" si="10"/>
        <v>68155.710000000006</v>
      </c>
      <c r="V14" s="8">
        <f t="shared" si="10"/>
        <v>90347.14</v>
      </c>
      <c r="W14" s="8">
        <f t="shared" si="10"/>
        <v>8570.57</v>
      </c>
      <c r="X14" s="8">
        <f t="shared" si="10"/>
        <v>43314.86</v>
      </c>
      <c r="Y14" s="8">
        <f t="shared" si="7"/>
        <v>1819426.26</v>
      </c>
      <c r="Z14" s="9"/>
    </row>
    <row r="15" spans="1:26">
      <c r="A15" s="5" t="s">
        <v>53</v>
      </c>
      <c r="B15" s="6" t="s">
        <v>55</v>
      </c>
      <c r="C15" s="6"/>
      <c r="D15" s="7" t="s">
        <v>28</v>
      </c>
      <c r="E15" s="8">
        <v>18364800</v>
      </c>
      <c r="F15" s="8">
        <v>26399400</v>
      </c>
      <c r="G15" s="8">
        <v>53372700</v>
      </c>
      <c r="H15" s="8">
        <v>11478000</v>
      </c>
      <c r="I15" s="8">
        <v>2793600</v>
      </c>
      <c r="J15" s="8">
        <v>3666600</v>
      </c>
      <c r="K15" s="8">
        <v>13793400</v>
      </c>
      <c r="L15" s="8">
        <v>17110800</v>
      </c>
      <c r="M15" s="8">
        <v>65615900</v>
      </c>
      <c r="N15" s="8">
        <v>5063400</v>
      </c>
      <c r="O15" s="8">
        <v>7507800</v>
      </c>
      <c r="P15" s="8">
        <v>18938700</v>
      </c>
      <c r="Q15" s="8">
        <v>1047600</v>
      </c>
      <c r="R15" s="8">
        <v>23721200</v>
      </c>
      <c r="S15" s="8">
        <v>7857000</v>
      </c>
      <c r="T15" s="8">
        <v>8417200</v>
      </c>
      <c r="U15" s="8">
        <v>11860600</v>
      </c>
      <c r="V15" s="8">
        <v>14921400</v>
      </c>
      <c r="W15" s="8">
        <v>1299900</v>
      </c>
      <c r="X15" s="8">
        <v>8380800</v>
      </c>
      <c r="Y15" s="8">
        <f t="shared" si="7"/>
        <v>321610800</v>
      </c>
      <c r="Z15" s="9"/>
    </row>
    <row r="16" spans="1:26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18158340</v>
      </c>
      <c r="F16" s="16">
        <f t="shared" ref="F16:X16" si="11">F15-F17</f>
        <v>25898912</v>
      </c>
      <c r="G16" s="16">
        <f t="shared" si="11"/>
        <v>52901236</v>
      </c>
      <c r="H16" s="16">
        <f t="shared" si="11"/>
        <v>11078016</v>
      </c>
      <c r="I16" s="16">
        <f t="shared" si="11"/>
        <v>2614464</v>
      </c>
      <c r="J16" s="16">
        <f t="shared" si="11"/>
        <v>3666600</v>
      </c>
      <c r="K16" s="16">
        <f t="shared" si="11"/>
        <v>13793400</v>
      </c>
      <c r="L16" s="16">
        <f t="shared" si="11"/>
        <v>16828656</v>
      </c>
      <c r="M16" s="16">
        <f t="shared" si="11"/>
        <v>65038224</v>
      </c>
      <c r="N16" s="16">
        <f t="shared" si="11"/>
        <v>4880704</v>
      </c>
      <c r="O16" s="16">
        <f t="shared" si="11"/>
        <v>7323856</v>
      </c>
      <c r="P16" s="16">
        <f t="shared" si="11"/>
        <v>18716388</v>
      </c>
      <c r="Q16" s="16">
        <f t="shared" si="11"/>
        <v>892244</v>
      </c>
      <c r="R16" s="16">
        <f t="shared" si="11"/>
        <v>23504600</v>
      </c>
      <c r="S16" s="16">
        <f t="shared" si="11"/>
        <v>7679164</v>
      </c>
      <c r="T16" s="16">
        <f t="shared" si="11"/>
        <v>8251128</v>
      </c>
      <c r="U16" s="16">
        <f t="shared" si="11"/>
        <v>11463016</v>
      </c>
      <c r="V16" s="16">
        <f t="shared" si="11"/>
        <v>14727620</v>
      </c>
      <c r="W16" s="16">
        <f t="shared" si="11"/>
        <v>1299900</v>
      </c>
      <c r="X16" s="16">
        <f t="shared" si="11"/>
        <v>8199496</v>
      </c>
      <c r="Y16" s="8">
        <f t="shared" si="7"/>
        <v>316915964</v>
      </c>
      <c r="Z16" s="15"/>
    </row>
    <row r="17" spans="1:26">
      <c r="A17" s="5" t="s">
        <v>56</v>
      </c>
      <c r="B17" s="14" t="s">
        <v>60</v>
      </c>
      <c r="C17" s="14" t="s">
        <v>35</v>
      </c>
      <c r="D17" s="15" t="s">
        <v>61</v>
      </c>
      <c r="E17" s="16">
        <v>206460</v>
      </c>
      <c r="F17" s="16">
        <v>500488</v>
      </c>
      <c r="G17" s="16">
        <v>471464</v>
      </c>
      <c r="H17" s="16">
        <v>399984</v>
      </c>
      <c r="I17" s="16">
        <v>179136</v>
      </c>
      <c r="J17" s="16"/>
      <c r="K17" s="16"/>
      <c r="L17" s="16">
        <v>282144</v>
      </c>
      <c r="M17" s="16">
        <v>577676</v>
      </c>
      <c r="N17" s="16">
        <v>182696</v>
      </c>
      <c r="O17" s="16">
        <v>183944</v>
      </c>
      <c r="P17" s="16">
        <v>222312</v>
      </c>
      <c r="Q17" s="16">
        <f>(2825+9288)*12+2000*5</f>
        <v>155356</v>
      </c>
      <c r="R17" s="16">
        <v>216600</v>
      </c>
      <c r="S17" s="16">
        <v>177836</v>
      </c>
      <c r="T17" s="16">
        <v>166072</v>
      </c>
      <c r="U17" s="16">
        <v>397584</v>
      </c>
      <c r="V17" s="16">
        <v>193780</v>
      </c>
      <c r="W17" s="16"/>
      <c r="X17" s="16">
        <v>181304</v>
      </c>
      <c r="Y17" s="8">
        <f t="shared" si="7"/>
        <v>4694836</v>
      </c>
      <c r="Z17" s="15"/>
    </row>
    <row r="18" spans="1:26">
      <c r="A18" s="5" t="s">
        <v>59</v>
      </c>
      <c r="B18" s="6" t="s">
        <v>63</v>
      </c>
      <c r="C18" s="6"/>
      <c r="D18" s="15" t="s">
        <v>28</v>
      </c>
      <c r="E18" s="17">
        <f>E19</f>
        <v>2194200</v>
      </c>
      <c r="F18" s="17">
        <f>F19</f>
        <v>3194550</v>
      </c>
      <c r="G18" s="17">
        <f t="shared" ref="G18:X18" si="12">G19</f>
        <v>6129756</v>
      </c>
      <c r="H18" s="17">
        <f t="shared" si="12"/>
        <v>1354662</v>
      </c>
      <c r="I18" s="17">
        <f t="shared" si="12"/>
        <v>317178</v>
      </c>
      <c r="J18" s="17">
        <f t="shared" si="12"/>
        <v>402930</v>
      </c>
      <c r="K18" s="17">
        <f t="shared" si="12"/>
        <v>1665162</v>
      </c>
      <c r="L18" s="17">
        <f t="shared" si="12"/>
        <v>1956546</v>
      </c>
      <c r="M18" s="17">
        <f t="shared" si="12"/>
        <v>7903170</v>
      </c>
      <c r="N18" s="17">
        <f t="shared" si="12"/>
        <v>623754</v>
      </c>
      <c r="O18" s="17">
        <f t="shared" si="12"/>
        <v>849618</v>
      </c>
      <c r="P18" s="17">
        <f t="shared" si="12"/>
        <v>2364660</v>
      </c>
      <c r="Q18" s="17">
        <f t="shared" si="12"/>
        <v>117000</v>
      </c>
      <c r="R18" s="17">
        <f t="shared" si="12"/>
        <v>2816460</v>
      </c>
      <c r="S18" s="17">
        <f t="shared" si="12"/>
        <v>952596</v>
      </c>
      <c r="T18" s="17">
        <f t="shared" si="12"/>
        <v>947556</v>
      </c>
      <c r="U18" s="17">
        <f t="shared" si="12"/>
        <v>1431270</v>
      </c>
      <c r="V18" s="17">
        <f t="shared" si="12"/>
        <v>1897290</v>
      </c>
      <c r="W18" s="17">
        <f t="shared" si="12"/>
        <v>179982</v>
      </c>
      <c r="X18" s="17">
        <f t="shared" si="12"/>
        <v>909612</v>
      </c>
      <c r="Y18" s="8">
        <f t="shared" si="7"/>
        <v>38207952</v>
      </c>
      <c r="Z18" s="15"/>
    </row>
    <row r="19" spans="1:26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2194200</v>
      </c>
      <c r="F19" s="17">
        <f>ROUND(F28/0.07*0.105,2)</f>
        <v>3194550</v>
      </c>
      <c r="G19" s="17">
        <f t="shared" ref="G19:X19" si="13">ROUND(G28/0.07*0.105,2)</f>
        <v>6129756</v>
      </c>
      <c r="H19" s="17">
        <f t="shared" si="13"/>
        <v>1354662</v>
      </c>
      <c r="I19" s="17">
        <f t="shared" si="13"/>
        <v>317178</v>
      </c>
      <c r="J19" s="17">
        <f t="shared" si="13"/>
        <v>402930</v>
      </c>
      <c r="K19" s="17">
        <f t="shared" si="13"/>
        <v>1665162</v>
      </c>
      <c r="L19" s="17">
        <f t="shared" si="13"/>
        <v>1956546</v>
      </c>
      <c r="M19" s="17">
        <f t="shared" si="13"/>
        <v>7903170</v>
      </c>
      <c r="N19" s="17">
        <f t="shared" si="13"/>
        <v>623754</v>
      </c>
      <c r="O19" s="17">
        <f t="shared" si="13"/>
        <v>849618</v>
      </c>
      <c r="P19" s="17">
        <f t="shared" si="13"/>
        <v>2364660</v>
      </c>
      <c r="Q19" s="17">
        <f t="shared" si="13"/>
        <v>117000</v>
      </c>
      <c r="R19" s="17">
        <f t="shared" si="13"/>
        <v>2816460</v>
      </c>
      <c r="S19" s="17">
        <f t="shared" si="13"/>
        <v>952596</v>
      </c>
      <c r="T19" s="17">
        <f t="shared" si="13"/>
        <v>947556</v>
      </c>
      <c r="U19" s="17">
        <f t="shared" si="13"/>
        <v>1431270</v>
      </c>
      <c r="V19" s="17">
        <f t="shared" si="13"/>
        <v>1897290</v>
      </c>
      <c r="W19" s="17">
        <f t="shared" si="13"/>
        <v>179982</v>
      </c>
      <c r="X19" s="17">
        <f t="shared" si="13"/>
        <v>909612</v>
      </c>
      <c r="Y19" s="8">
        <f t="shared" si="7"/>
        <v>38207952</v>
      </c>
      <c r="Z19" s="15"/>
    </row>
    <row r="20" spans="1:26">
      <c r="A20" s="5" t="s">
        <v>64</v>
      </c>
      <c r="B20" s="6" t="s">
        <v>68</v>
      </c>
      <c r="C20" s="6"/>
      <c r="D20" s="15" t="s">
        <v>51</v>
      </c>
      <c r="E20" s="17">
        <f>E21+E22</f>
        <v>835885.72</v>
      </c>
      <c r="F20" s="17">
        <f>F21+F22</f>
        <v>1216971.42</v>
      </c>
      <c r="G20" s="17">
        <f t="shared" ref="G20:X20" si="14">G21+G22</f>
        <v>2335145.14</v>
      </c>
      <c r="H20" s="17">
        <f t="shared" si="14"/>
        <v>516061.72</v>
      </c>
      <c r="I20" s="17">
        <f t="shared" si="14"/>
        <v>120829.72</v>
      </c>
      <c r="J20" s="17">
        <f t="shared" si="14"/>
        <v>153497.14000000001</v>
      </c>
      <c r="K20" s="17">
        <f t="shared" si="14"/>
        <v>634347.42000000004</v>
      </c>
      <c r="L20" s="17">
        <f t="shared" si="14"/>
        <v>745350.86</v>
      </c>
      <c r="M20" s="17">
        <f t="shared" si="14"/>
        <v>3010731.42</v>
      </c>
      <c r="N20" s="17">
        <f t="shared" si="14"/>
        <v>237620.58</v>
      </c>
      <c r="O20" s="17">
        <f t="shared" si="14"/>
        <v>323664</v>
      </c>
      <c r="P20" s="17">
        <f t="shared" si="14"/>
        <v>900822.86</v>
      </c>
      <c r="Q20" s="17">
        <f t="shared" si="14"/>
        <v>44571.42</v>
      </c>
      <c r="R20" s="17">
        <f t="shared" si="14"/>
        <v>1072937.1399999999</v>
      </c>
      <c r="S20" s="17">
        <f t="shared" si="14"/>
        <v>362893.72</v>
      </c>
      <c r="T20" s="17">
        <f t="shared" si="14"/>
        <v>360973.72</v>
      </c>
      <c r="U20" s="17">
        <f t="shared" si="14"/>
        <v>545245.72</v>
      </c>
      <c r="V20" s="17">
        <f t="shared" si="14"/>
        <v>722777.14</v>
      </c>
      <c r="W20" s="17">
        <f t="shared" si="14"/>
        <v>68564.58</v>
      </c>
      <c r="X20" s="17">
        <f t="shared" si="14"/>
        <v>346518.86</v>
      </c>
      <c r="Y20" s="8">
        <f t="shared" si="7"/>
        <v>14555410.300000001</v>
      </c>
      <c r="Z20" s="15"/>
    </row>
    <row r="21" spans="1:26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417942.86</v>
      </c>
      <c r="F21" s="17">
        <f>ROUND(F28/0.07*0.02,2)</f>
        <v>608485.71</v>
      </c>
      <c r="G21" s="17">
        <f t="shared" ref="G21:X21" si="15">ROUND(G28/0.07*0.02,2)</f>
        <v>1167572.57</v>
      </c>
      <c r="H21" s="17">
        <f t="shared" si="15"/>
        <v>258030.86</v>
      </c>
      <c r="I21" s="17">
        <f t="shared" si="15"/>
        <v>60414.86</v>
      </c>
      <c r="J21" s="17">
        <f t="shared" si="15"/>
        <v>76748.570000000007</v>
      </c>
      <c r="K21" s="17">
        <f t="shared" si="15"/>
        <v>317173.71000000002</v>
      </c>
      <c r="L21" s="17">
        <f t="shared" si="15"/>
        <v>372675.43</v>
      </c>
      <c r="M21" s="17">
        <f t="shared" si="15"/>
        <v>1505365.71</v>
      </c>
      <c r="N21" s="17">
        <f t="shared" si="15"/>
        <v>118810.29</v>
      </c>
      <c r="O21" s="17">
        <f t="shared" si="15"/>
        <v>161832</v>
      </c>
      <c r="P21" s="17">
        <f t="shared" si="15"/>
        <v>450411.43</v>
      </c>
      <c r="Q21" s="17">
        <f t="shared" si="15"/>
        <v>22285.71</v>
      </c>
      <c r="R21" s="17">
        <f t="shared" si="15"/>
        <v>536468.56999999995</v>
      </c>
      <c r="S21" s="17">
        <f t="shared" si="15"/>
        <v>181446.86</v>
      </c>
      <c r="T21" s="17">
        <f t="shared" si="15"/>
        <v>180486.86</v>
      </c>
      <c r="U21" s="17">
        <f t="shared" si="15"/>
        <v>272622.86</v>
      </c>
      <c r="V21" s="17">
        <f t="shared" si="15"/>
        <v>361388.57</v>
      </c>
      <c r="W21" s="17">
        <f t="shared" si="15"/>
        <v>34282.29</v>
      </c>
      <c r="X21" s="17">
        <f t="shared" si="15"/>
        <v>173259.43</v>
      </c>
      <c r="Y21" s="8">
        <f t="shared" si="7"/>
        <v>7277705.1500000004</v>
      </c>
      <c r="Z21" s="15"/>
    </row>
    <row r="22" spans="1:26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417942.86</v>
      </c>
      <c r="F22" s="17">
        <f>ROUND(F28/0.07*0.02,2)</f>
        <v>608485.71</v>
      </c>
      <c r="G22" s="17">
        <f t="shared" ref="G22:X22" si="16">ROUND(G28/0.07*0.02,2)</f>
        <v>1167572.57</v>
      </c>
      <c r="H22" s="17">
        <f t="shared" si="16"/>
        <v>258030.86</v>
      </c>
      <c r="I22" s="17">
        <f t="shared" si="16"/>
        <v>60414.86</v>
      </c>
      <c r="J22" s="17">
        <f t="shared" si="16"/>
        <v>76748.570000000007</v>
      </c>
      <c r="K22" s="17">
        <f t="shared" si="16"/>
        <v>317173.71000000002</v>
      </c>
      <c r="L22" s="17">
        <f t="shared" si="16"/>
        <v>372675.43</v>
      </c>
      <c r="M22" s="17">
        <f t="shared" si="16"/>
        <v>1505365.71</v>
      </c>
      <c r="N22" s="17">
        <f t="shared" si="16"/>
        <v>118810.29</v>
      </c>
      <c r="O22" s="17">
        <f t="shared" si="16"/>
        <v>161832</v>
      </c>
      <c r="P22" s="17">
        <f t="shared" si="16"/>
        <v>450411.43</v>
      </c>
      <c r="Q22" s="17">
        <f t="shared" si="16"/>
        <v>22285.71</v>
      </c>
      <c r="R22" s="17">
        <f t="shared" si="16"/>
        <v>536468.56999999995</v>
      </c>
      <c r="S22" s="17">
        <f t="shared" si="16"/>
        <v>181446.86</v>
      </c>
      <c r="T22" s="17">
        <f t="shared" si="16"/>
        <v>180486.86</v>
      </c>
      <c r="U22" s="17">
        <f t="shared" si="16"/>
        <v>272622.86</v>
      </c>
      <c r="V22" s="17">
        <f t="shared" si="16"/>
        <v>361388.57</v>
      </c>
      <c r="W22" s="17">
        <f t="shared" si="16"/>
        <v>34282.29</v>
      </c>
      <c r="X22" s="17">
        <f t="shared" si="16"/>
        <v>173259.43</v>
      </c>
      <c r="Y22" s="8">
        <f t="shared" si="7"/>
        <v>7277705.1500000004</v>
      </c>
      <c r="Z22" s="15"/>
    </row>
    <row r="23" spans="1:26">
      <c r="A23" s="5" t="s">
        <v>72</v>
      </c>
      <c r="B23" s="6" t="s">
        <v>75</v>
      </c>
      <c r="C23" s="6"/>
      <c r="D23" s="7" t="s">
        <v>28</v>
      </c>
      <c r="E23" s="8">
        <f>E24</f>
        <v>3343542.86</v>
      </c>
      <c r="F23" s="8">
        <f>F24</f>
        <v>4867885.71</v>
      </c>
      <c r="G23" s="8">
        <f t="shared" ref="G23:X23" si="17">G24</f>
        <v>9340580.5700000003</v>
      </c>
      <c r="H23" s="8">
        <f t="shared" si="17"/>
        <v>2064246.86</v>
      </c>
      <c r="I23" s="8">
        <f t="shared" si="17"/>
        <v>483318.86</v>
      </c>
      <c r="J23" s="8">
        <f t="shared" si="17"/>
        <v>613988.56999999995</v>
      </c>
      <c r="K23" s="8">
        <f t="shared" si="17"/>
        <v>2537389.71</v>
      </c>
      <c r="L23" s="8">
        <f t="shared" si="17"/>
        <v>2981403.43</v>
      </c>
      <c r="M23" s="8">
        <f t="shared" si="17"/>
        <v>12042925.710000001</v>
      </c>
      <c r="N23" s="8">
        <f t="shared" si="17"/>
        <v>950482.29</v>
      </c>
      <c r="O23" s="8">
        <f t="shared" si="17"/>
        <v>1294656</v>
      </c>
      <c r="P23" s="8">
        <f t="shared" si="17"/>
        <v>3603291.43</v>
      </c>
      <c r="Q23" s="8">
        <f t="shared" si="17"/>
        <v>178285.71</v>
      </c>
      <c r="R23" s="8">
        <f t="shared" si="17"/>
        <v>4291748.57</v>
      </c>
      <c r="S23" s="8">
        <f t="shared" si="17"/>
        <v>1451574.86</v>
      </c>
      <c r="T23" s="8">
        <f t="shared" si="17"/>
        <v>1443894.86</v>
      </c>
      <c r="U23" s="8">
        <f t="shared" si="17"/>
        <v>2180982.86</v>
      </c>
      <c r="V23" s="8">
        <f t="shared" si="17"/>
        <v>2891108.57</v>
      </c>
      <c r="W23" s="8">
        <f t="shared" si="17"/>
        <v>274258.28999999998</v>
      </c>
      <c r="X23" s="8">
        <f t="shared" si="17"/>
        <v>1386075.43</v>
      </c>
      <c r="Y23" s="8">
        <f t="shared" si="7"/>
        <v>58221641.149999999</v>
      </c>
      <c r="Z23" s="9"/>
    </row>
    <row r="24" spans="1:26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3343542.86</v>
      </c>
      <c r="F24" s="8">
        <f>ROUND(F28/0.07*0.16,2)</f>
        <v>4867885.71</v>
      </c>
      <c r="G24" s="8">
        <f t="shared" ref="G24:X24" si="18">ROUND(G28/0.07*0.16,2)</f>
        <v>9340580.5700000003</v>
      </c>
      <c r="H24" s="8">
        <f t="shared" si="18"/>
        <v>2064246.86</v>
      </c>
      <c r="I24" s="8">
        <f t="shared" si="18"/>
        <v>483318.86</v>
      </c>
      <c r="J24" s="8">
        <f t="shared" si="18"/>
        <v>613988.56999999995</v>
      </c>
      <c r="K24" s="8">
        <f t="shared" si="18"/>
        <v>2537389.71</v>
      </c>
      <c r="L24" s="8">
        <f t="shared" si="18"/>
        <v>2981403.43</v>
      </c>
      <c r="M24" s="8">
        <f t="shared" si="18"/>
        <v>12042925.710000001</v>
      </c>
      <c r="N24" s="8">
        <f t="shared" si="18"/>
        <v>950482.29</v>
      </c>
      <c r="O24" s="8">
        <f t="shared" si="18"/>
        <v>1294656</v>
      </c>
      <c r="P24" s="8">
        <f t="shared" si="18"/>
        <v>3603291.43</v>
      </c>
      <c r="Q24" s="8">
        <f t="shared" si="18"/>
        <v>178285.71</v>
      </c>
      <c r="R24" s="8">
        <f t="shared" si="18"/>
        <v>4291748.57</v>
      </c>
      <c r="S24" s="8">
        <f t="shared" si="18"/>
        <v>1451574.86</v>
      </c>
      <c r="T24" s="8">
        <f t="shared" si="18"/>
        <v>1443894.86</v>
      </c>
      <c r="U24" s="8">
        <f t="shared" si="18"/>
        <v>2180982.86</v>
      </c>
      <c r="V24" s="8">
        <f t="shared" si="18"/>
        <v>2891108.57</v>
      </c>
      <c r="W24" s="8">
        <f t="shared" si="18"/>
        <v>274258.28999999998</v>
      </c>
      <c r="X24" s="8">
        <f t="shared" si="18"/>
        <v>1386075.43</v>
      </c>
      <c r="Y24" s="8">
        <f t="shared" si="7"/>
        <v>58221641.149999999</v>
      </c>
      <c r="Z24" s="9"/>
    </row>
    <row r="25" spans="1:26">
      <c r="A25" s="5" t="s">
        <v>76</v>
      </c>
      <c r="B25" s="6" t="s">
        <v>80</v>
      </c>
      <c r="C25" s="6"/>
      <c r="D25" s="7" t="s">
        <v>28</v>
      </c>
      <c r="E25" s="8">
        <f>E26</f>
        <v>1671771.43</v>
      </c>
      <c r="F25" s="8">
        <f>F26</f>
        <v>2433942.86</v>
      </c>
      <c r="G25" s="8">
        <f t="shared" ref="G25:X25" si="19">G26</f>
        <v>4670290.29</v>
      </c>
      <c r="H25" s="8">
        <f t="shared" si="19"/>
        <v>1032123.43</v>
      </c>
      <c r="I25" s="8">
        <f t="shared" si="19"/>
        <v>241659.43</v>
      </c>
      <c r="J25" s="8">
        <f t="shared" si="19"/>
        <v>306994.28999999998</v>
      </c>
      <c r="K25" s="8">
        <f t="shared" si="19"/>
        <v>1268694.8600000001</v>
      </c>
      <c r="L25" s="8">
        <f t="shared" si="19"/>
        <v>1490701.71</v>
      </c>
      <c r="M25" s="8">
        <f t="shared" si="19"/>
        <v>6021462.8600000003</v>
      </c>
      <c r="N25" s="8">
        <f t="shared" si="19"/>
        <v>475241.14</v>
      </c>
      <c r="O25" s="8">
        <f t="shared" si="19"/>
        <v>647328</v>
      </c>
      <c r="P25" s="8">
        <f t="shared" si="19"/>
        <v>1801645.71</v>
      </c>
      <c r="Q25" s="8">
        <f t="shared" si="19"/>
        <v>89142.86</v>
      </c>
      <c r="R25" s="8">
        <f t="shared" si="19"/>
        <v>2145874.29</v>
      </c>
      <c r="S25" s="8">
        <f t="shared" si="19"/>
        <v>725787.43</v>
      </c>
      <c r="T25" s="8">
        <f t="shared" si="19"/>
        <v>721947.43</v>
      </c>
      <c r="U25" s="8">
        <f t="shared" si="19"/>
        <v>1090491.43</v>
      </c>
      <c r="V25" s="8">
        <f t="shared" si="19"/>
        <v>1445554.29</v>
      </c>
      <c r="W25" s="8">
        <f t="shared" si="19"/>
        <v>137129.14000000001</v>
      </c>
      <c r="X25" s="8">
        <f t="shared" si="19"/>
        <v>693037.71</v>
      </c>
      <c r="Y25" s="8">
        <f t="shared" si="7"/>
        <v>29110820.589999996</v>
      </c>
      <c r="Z25" s="9"/>
    </row>
    <row r="26" spans="1:26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1671771.43</v>
      </c>
      <c r="F26" s="8">
        <f>ROUND(F28/0.07*0.08,2)</f>
        <v>2433942.86</v>
      </c>
      <c r="G26" s="8">
        <f t="shared" ref="G26:X26" si="20">ROUND(G28/0.07*0.08,2)</f>
        <v>4670290.29</v>
      </c>
      <c r="H26" s="8">
        <f t="shared" si="20"/>
        <v>1032123.43</v>
      </c>
      <c r="I26" s="8">
        <f t="shared" si="20"/>
        <v>241659.43</v>
      </c>
      <c r="J26" s="8">
        <f t="shared" si="20"/>
        <v>306994.28999999998</v>
      </c>
      <c r="K26" s="8">
        <f t="shared" si="20"/>
        <v>1268694.8600000001</v>
      </c>
      <c r="L26" s="8">
        <f t="shared" si="20"/>
        <v>1490701.71</v>
      </c>
      <c r="M26" s="8">
        <f t="shared" si="20"/>
        <v>6021462.8600000003</v>
      </c>
      <c r="N26" s="8">
        <f t="shared" si="20"/>
        <v>475241.14</v>
      </c>
      <c r="O26" s="8">
        <f t="shared" si="20"/>
        <v>647328</v>
      </c>
      <c r="P26" s="8">
        <f t="shared" si="20"/>
        <v>1801645.71</v>
      </c>
      <c r="Q26" s="8">
        <f t="shared" si="20"/>
        <v>89142.86</v>
      </c>
      <c r="R26" s="8">
        <f t="shared" si="20"/>
        <v>2145874.29</v>
      </c>
      <c r="S26" s="8">
        <f t="shared" si="20"/>
        <v>725787.43</v>
      </c>
      <c r="T26" s="8">
        <f t="shared" si="20"/>
        <v>721947.43</v>
      </c>
      <c r="U26" s="8">
        <f t="shared" si="20"/>
        <v>1090491.43</v>
      </c>
      <c r="V26" s="8">
        <f t="shared" si="20"/>
        <v>1445554.29</v>
      </c>
      <c r="W26" s="8">
        <f t="shared" si="20"/>
        <v>137129.14000000001</v>
      </c>
      <c r="X26" s="8">
        <f t="shared" si="20"/>
        <v>693037.71</v>
      </c>
      <c r="Y26" s="8">
        <f t="shared" si="7"/>
        <v>29110820.589999996</v>
      </c>
      <c r="Z26" s="9"/>
    </row>
    <row r="27" spans="1:26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576000</v>
      </c>
      <c r="F27" s="8">
        <f>6000*F93</f>
        <v>828000</v>
      </c>
      <c r="G27" s="8">
        <f t="shared" ref="G27:Y27" si="21">6000*G93</f>
        <v>1674000</v>
      </c>
      <c r="H27" s="8">
        <f t="shared" si="21"/>
        <v>360000</v>
      </c>
      <c r="I27" s="8">
        <f t="shared" si="21"/>
        <v>96000</v>
      </c>
      <c r="J27" s="8">
        <f t="shared" si="21"/>
        <v>126000</v>
      </c>
      <c r="K27" s="8">
        <f t="shared" si="21"/>
        <v>474000</v>
      </c>
      <c r="L27" s="8">
        <f t="shared" si="21"/>
        <v>588000</v>
      </c>
      <c r="M27" s="8">
        <f t="shared" si="21"/>
        <v>2058000</v>
      </c>
      <c r="N27" s="8">
        <f t="shared" si="21"/>
        <v>174000</v>
      </c>
      <c r="O27" s="8">
        <f t="shared" si="21"/>
        <v>258000</v>
      </c>
      <c r="P27" s="8">
        <f t="shared" si="21"/>
        <v>594000</v>
      </c>
      <c r="Q27" s="8">
        <f t="shared" si="21"/>
        <v>36000</v>
      </c>
      <c r="R27" s="8">
        <f t="shared" si="21"/>
        <v>744000</v>
      </c>
      <c r="S27" s="8">
        <f t="shared" si="21"/>
        <v>270000</v>
      </c>
      <c r="T27" s="8">
        <f t="shared" si="21"/>
        <v>264000</v>
      </c>
      <c r="U27" s="8">
        <f t="shared" si="21"/>
        <v>372000</v>
      </c>
      <c r="V27" s="8">
        <f t="shared" si="21"/>
        <v>468000</v>
      </c>
      <c r="W27" s="8">
        <f t="shared" si="21"/>
        <v>42000</v>
      </c>
      <c r="X27" s="8">
        <f t="shared" si="21"/>
        <v>288000</v>
      </c>
      <c r="Y27" s="8">
        <f t="shared" si="21"/>
        <v>10290000</v>
      </c>
      <c r="Z27" s="9"/>
    </row>
    <row r="28" spans="1:26">
      <c r="A28" s="5" t="s">
        <v>84</v>
      </c>
      <c r="B28" s="6" t="s">
        <v>88</v>
      </c>
      <c r="C28" s="6" t="s">
        <v>88</v>
      </c>
      <c r="D28" s="7" t="s">
        <v>89</v>
      </c>
      <c r="E28" s="16">
        <f>121900*12</f>
        <v>1462800</v>
      </c>
      <c r="F28" s="16">
        <f>177475*12</f>
        <v>2129700</v>
      </c>
      <c r="G28" s="16">
        <f>340542*12</f>
        <v>4086504</v>
      </c>
      <c r="H28" s="16">
        <f>75259*12</f>
        <v>903108</v>
      </c>
      <c r="I28" s="16">
        <f>17621*12</f>
        <v>211452</v>
      </c>
      <c r="J28" s="16">
        <f>22385*12</f>
        <v>268620</v>
      </c>
      <c r="K28" s="16">
        <f>92509*12</f>
        <v>1110108</v>
      </c>
      <c r="L28" s="16">
        <f>108697*12</f>
        <v>1304364</v>
      </c>
      <c r="M28" s="16">
        <f>439065*12</f>
        <v>5268780</v>
      </c>
      <c r="N28" s="16">
        <f>34653*12</f>
        <v>415836</v>
      </c>
      <c r="O28" s="16">
        <v>566412</v>
      </c>
      <c r="P28" s="16">
        <v>1576440</v>
      </c>
      <c r="Q28" s="16">
        <v>78000</v>
      </c>
      <c r="R28" s="16">
        <f>156470*12</f>
        <v>1877640</v>
      </c>
      <c r="S28" s="16">
        <f>52922*12</f>
        <v>635064</v>
      </c>
      <c r="T28" s="16">
        <f>52642*12</f>
        <v>631704</v>
      </c>
      <c r="U28" s="16">
        <v>954180</v>
      </c>
      <c r="V28" s="16">
        <v>1264860</v>
      </c>
      <c r="W28" s="16">
        <v>119988</v>
      </c>
      <c r="X28" s="16">
        <f>50534*12</f>
        <v>606408</v>
      </c>
      <c r="Y28" s="8">
        <f t="shared" ref="Y28:Y89" si="22">SUM(E28:X28)</f>
        <v>25471968</v>
      </c>
      <c r="Z28" s="15"/>
    </row>
    <row r="29" spans="1:26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8">
        <f t="shared" si="22"/>
        <v>0</v>
      </c>
      <c r="Z29" s="15"/>
    </row>
    <row r="30" spans="1:26">
      <c r="A30" s="5" t="s">
        <v>90</v>
      </c>
      <c r="B30" s="6" t="s">
        <v>95</v>
      </c>
      <c r="C30" s="6"/>
      <c r="D30" s="7" t="s">
        <v>28</v>
      </c>
      <c r="E30" s="8">
        <f t="shared" ref="E30:F30" si="23">E31+E39+E42+E44</f>
        <v>9480</v>
      </c>
      <c r="F30" s="8">
        <f t="shared" si="23"/>
        <v>5960</v>
      </c>
      <c r="G30" s="8">
        <f t="shared" ref="G30" si="24">G31+G39+G42+G44</f>
        <v>64021.2</v>
      </c>
      <c r="H30" s="8">
        <f t="shared" ref="H30" si="25">H31+H39+H42+H44</f>
        <v>3120</v>
      </c>
      <c r="I30" s="8">
        <f t="shared" ref="I30" si="26">I31+I39+I42+I44</f>
        <v>1120</v>
      </c>
      <c r="J30" s="8">
        <f t="shared" ref="J30" si="27">J31+J39+J42+J44</f>
        <v>2760</v>
      </c>
      <c r="K30" s="8">
        <f t="shared" ref="K30" si="28">K31+K39+K42+K44</f>
        <v>14920</v>
      </c>
      <c r="L30" s="8">
        <f t="shared" ref="L30:Q30" si="29">L31+L39+L42+L44</f>
        <v>12920</v>
      </c>
      <c r="M30" s="8">
        <f t="shared" si="29"/>
        <v>31280</v>
      </c>
      <c r="N30" s="8">
        <f t="shared" si="29"/>
        <v>5520</v>
      </c>
      <c r="O30" s="8">
        <f t="shared" si="29"/>
        <v>6360</v>
      </c>
      <c r="P30" s="8">
        <f t="shared" si="29"/>
        <v>7300</v>
      </c>
      <c r="Q30" s="8">
        <f t="shared" si="29"/>
        <v>720</v>
      </c>
      <c r="R30" s="8">
        <f>R31+R39+R42+R44</f>
        <v>13130</v>
      </c>
      <c r="S30" s="8">
        <f t="shared" ref="S30:X30" si="30">S31+S39+S42+S44</f>
        <v>3660</v>
      </c>
      <c r="T30" s="8">
        <f t="shared" si="30"/>
        <v>2600</v>
      </c>
      <c r="U30" s="8">
        <f t="shared" si="30"/>
        <v>4620</v>
      </c>
      <c r="V30" s="8">
        <f t="shared" si="30"/>
        <v>11280</v>
      </c>
      <c r="W30" s="8">
        <f t="shared" si="30"/>
        <v>360</v>
      </c>
      <c r="X30" s="8">
        <f t="shared" si="30"/>
        <v>7040</v>
      </c>
      <c r="Y30" s="8">
        <f t="shared" si="22"/>
        <v>208171.2</v>
      </c>
      <c r="Z30" s="9"/>
    </row>
    <row r="31" spans="1:26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>F32+F33+F34+F35+F36+F37+F38</f>
        <v>0</v>
      </c>
      <c r="G31" s="8">
        <f t="shared" ref="G31:X31" si="31">G32+G33+G34+G35+G36+G37+G38</f>
        <v>0</v>
      </c>
      <c r="H31" s="8">
        <f t="shared" si="31"/>
        <v>0</v>
      </c>
      <c r="I31" s="8">
        <f t="shared" si="31"/>
        <v>0</v>
      </c>
      <c r="J31" s="8">
        <f t="shared" si="31"/>
        <v>0</v>
      </c>
      <c r="K31" s="8">
        <f t="shared" si="31"/>
        <v>0</v>
      </c>
      <c r="L31" s="8">
        <f t="shared" si="31"/>
        <v>0</v>
      </c>
      <c r="M31" s="8">
        <f t="shared" si="31"/>
        <v>0</v>
      </c>
      <c r="N31" s="8">
        <f t="shared" si="31"/>
        <v>0</v>
      </c>
      <c r="O31" s="8">
        <f t="shared" si="31"/>
        <v>0</v>
      </c>
      <c r="P31" s="8">
        <f t="shared" si="31"/>
        <v>0</v>
      </c>
      <c r="Q31" s="8">
        <f t="shared" si="31"/>
        <v>0</v>
      </c>
      <c r="R31" s="8">
        <f t="shared" si="31"/>
        <v>0</v>
      </c>
      <c r="S31" s="8">
        <f t="shared" si="31"/>
        <v>0</v>
      </c>
      <c r="T31" s="8">
        <f t="shared" si="31"/>
        <v>0</v>
      </c>
      <c r="U31" s="8">
        <f t="shared" si="31"/>
        <v>0</v>
      </c>
      <c r="V31" s="8">
        <f t="shared" si="31"/>
        <v>0</v>
      </c>
      <c r="W31" s="8">
        <f t="shared" si="31"/>
        <v>0</v>
      </c>
      <c r="X31" s="8">
        <f t="shared" si="31"/>
        <v>0</v>
      </c>
      <c r="Y31" s="8">
        <f t="shared" si="22"/>
        <v>0</v>
      </c>
      <c r="Z31" s="9"/>
    </row>
    <row r="32" spans="1:26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8">
        <f t="shared" si="22"/>
        <v>0</v>
      </c>
      <c r="Z32" s="15"/>
    </row>
    <row r="33" spans="1:26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8">
        <f t="shared" si="22"/>
        <v>0</v>
      </c>
      <c r="Z33" s="15"/>
    </row>
    <row r="34" spans="1:26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8">
        <f t="shared" si="22"/>
        <v>0</v>
      </c>
      <c r="Z34" s="15"/>
    </row>
    <row r="35" spans="1:26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8">
        <f t="shared" si="22"/>
        <v>0</v>
      </c>
      <c r="Z35" s="15"/>
    </row>
    <row r="36" spans="1:26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8">
        <f t="shared" si="22"/>
        <v>0</v>
      </c>
      <c r="Z36" s="15"/>
    </row>
    <row r="37" spans="1:26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8">
        <f t="shared" si="22"/>
        <v>0</v>
      </c>
      <c r="Z37" s="15"/>
    </row>
    <row r="38" spans="1:26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8">
        <f t="shared" si="22"/>
        <v>0</v>
      </c>
      <c r="Z38" s="15"/>
    </row>
    <row r="39" spans="1:26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>F40+F41</f>
        <v>0</v>
      </c>
      <c r="G39" s="8">
        <f t="shared" ref="G39:X39" si="32">G40+G41</f>
        <v>0</v>
      </c>
      <c r="H39" s="8">
        <f t="shared" si="32"/>
        <v>0</v>
      </c>
      <c r="I39" s="8">
        <f t="shared" si="32"/>
        <v>0</v>
      </c>
      <c r="J39" s="8">
        <f t="shared" si="32"/>
        <v>0</v>
      </c>
      <c r="K39" s="8">
        <f t="shared" si="32"/>
        <v>0</v>
      </c>
      <c r="L39" s="8">
        <f t="shared" si="32"/>
        <v>0</v>
      </c>
      <c r="M39" s="8">
        <f t="shared" si="32"/>
        <v>0</v>
      </c>
      <c r="N39" s="8">
        <f t="shared" si="32"/>
        <v>0</v>
      </c>
      <c r="O39" s="8">
        <f t="shared" si="32"/>
        <v>0</v>
      </c>
      <c r="P39" s="8">
        <f t="shared" si="32"/>
        <v>0</v>
      </c>
      <c r="Q39" s="8">
        <f t="shared" si="32"/>
        <v>0</v>
      </c>
      <c r="R39" s="8">
        <f t="shared" si="32"/>
        <v>0</v>
      </c>
      <c r="S39" s="8">
        <f t="shared" si="32"/>
        <v>0</v>
      </c>
      <c r="T39" s="8">
        <f t="shared" si="32"/>
        <v>0</v>
      </c>
      <c r="U39" s="8">
        <f t="shared" si="32"/>
        <v>0</v>
      </c>
      <c r="V39" s="8">
        <f t="shared" si="32"/>
        <v>0</v>
      </c>
      <c r="W39" s="8">
        <f t="shared" si="32"/>
        <v>0</v>
      </c>
      <c r="X39" s="8">
        <f t="shared" si="32"/>
        <v>0</v>
      </c>
      <c r="Y39" s="8">
        <f t="shared" si="22"/>
        <v>0</v>
      </c>
      <c r="Z39" s="9"/>
    </row>
    <row r="40" spans="1:26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8">
        <f t="shared" si="22"/>
        <v>0</v>
      </c>
      <c r="Z40" s="9"/>
    </row>
    <row r="41" spans="1:26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8">
        <f t="shared" si="22"/>
        <v>0</v>
      </c>
      <c r="Z41" s="9"/>
    </row>
    <row r="42" spans="1:26">
      <c r="A42" s="5" t="s">
        <v>118</v>
      </c>
      <c r="B42" s="6" t="s">
        <v>125</v>
      </c>
      <c r="C42" s="6"/>
      <c r="D42" s="7" t="s">
        <v>28</v>
      </c>
      <c r="E42" s="8">
        <f>E43</f>
        <v>6480</v>
      </c>
      <c r="F42" s="8">
        <f>F43</f>
        <v>3960</v>
      </c>
      <c r="G42" s="8">
        <f t="shared" ref="G42:X42" si="33">G43</f>
        <v>17280</v>
      </c>
      <c r="H42" s="8">
        <f t="shared" si="33"/>
        <v>2520</v>
      </c>
      <c r="I42" s="8">
        <f t="shared" si="33"/>
        <v>720</v>
      </c>
      <c r="J42" s="8">
        <f t="shared" si="33"/>
        <v>2160</v>
      </c>
      <c r="K42" s="8">
        <f t="shared" si="33"/>
        <v>7920</v>
      </c>
      <c r="L42" s="8">
        <f t="shared" si="33"/>
        <v>7920</v>
      </c>
      <c r="M42" s="8">
        <f t="shared" si="33"/>
        <v>20880</v>
      </c>
      <c r="N42" s="8">
        <f t="shared" si="33"/>
        <v>2520</v>
      </c>
      <c r="O42" s="8">
        <f t="shared" si="33"/>
        <v>5760</v>
      </c>
      <c r="P42" s="8">
        <f t="shared" si="33"/>
        <v>5850</v>
      </c>
      <c r="Q42" s="8">
        <f t="shared" si="33"/>
        <v>720</v>
      </c>
      <c r="R42" s="8">
        <f t="shared" si="33"/>
        <v>5130</v>
      </c>
      <c r="S42" s="8">
        <f t="shared" si="33"/>
        <v>3210</v>
      </c>
      <c r="T42" s="8">
        <f t="shared" si="33"/>
        <v>600</v>
      </c>
      <c r="U42" s="8">
        <f t="shared" si="33"/>
        <v>4320</v>
      </c>
      <c r="V42" s="8">
        <f t="shared" si="33"/>
        <v>10080</v>
      </c>
      <c r="W42" s="8">
        <f t="shared" si="33"/>
        <v>360</v>
      </c>
      <c r="X42" s="8">
        <f t="shared" si="33"/>
        <v>3390</v>
      </c>
      <c r="Y42" s="8">
        <f t="shared" si="22"/>
        <v>111780</v>
      </c>
      <c r="Z42" s="9"/>
    </row>
    <row r="43" spans="1:26">
      <c r="A43" s="5" t="s">
        <v>120</v>
      </c>
      <c r="B43" s="6" t="s">
        <v>127</v>
      </c>
      <c r="C43" s="6" t="s">
        <v>35</v>
      </c>
      <c r="D43" s="7" t="s">
        <v>36</v>
      </c>
      <c r="E43" s="10">
        <v>6480</v>
      </c>
      <c r="F43" s="10">
        <v>3960</v>
      </c>
      <c r="G43" s="10">
        <f>1440*12</f>
        <v>17280</v>
      </c>
      <c r="H43" s="10">
        <f>210*12</f>
        <v>2520</v>
      </c>
      <c r="I43" s="10">
        <f>60*12</f>
        <v>720</v>
      </c>
      <c r="J43" s="10">
        <f>180*12</f>
        <v>2160</v>
      </c>
      <c r="K43" s="10">
        <f>660*12</f>
        <v>7920</v>
      </c>
      <c r="L43" s="10">
        <f>660*12</f>
        <v>7920</v>
      </c>
      <c r="M43" s="10">
        <f>1740*12</f>
        <v>20880</v>
      </c>
      <c r="N43" s="10">
        <f>210*12</f>
        <v>2520</v>
      </c>
      <c r="O43" s="10">
        <v>5760</v>
      </c>
      <c r="P43" s="10">
        <v>5850</v>
      </c>
      <c r="Q43" s="10">
        <v>720</v>
      </c>
      <c r="R43" s="10">
        <v>5130</v>
      </c>
      <c r="S43" s="10">
        <v>3210</v>
      </c>
      <c r="T43" s="10">
        <v>600</v>
      </c>
      <c r="U43" s="10">
        <v>4320</v>
      </c>
      <c r="V43" s="10">
        <v>10080</v>
      </c>
      <c r="W43" s="10">
        <v>360</v>
      </c>
      <c r="X43" s="10">
        <v>3390</v>
      </c>
      <c r="Y43" s="8">
        <f t="shared" si="22"/>
        <v>111780</v>
      </c>
      <c r="Z43" s="9"/>
    </row>
    <row r="44" spans="1:26">
      <c r="A44" s="5" t="s">
        <v>122</v>
      </c>
      <c r="B44" s="6" t="s">
        <v>129</v>
      </c>
      <c r="C44" s="6"/>
      <c r="D44" s="7" t="s">
        <v>28</v>
      </c>
      <c r="E44" s="8">
        <f>SUM(E45:E48)</f>
        <v>3000</v>
      </c>
      <c r="F44" s="8">
        <f>SUM(F45:F48)</f>
        <v>2000</v>
      </c>
      <c r="G44" s="8">
        <f t="shared" ref="G44:X44" si="34">SUM(G45:G48)</f>
        <v>46741.2</v>
      </c>
      <c r="H44" s="8">
        <f t="shared" si="34"/>
        <v>600</v>
      </c>
      <c r="I44" s="8">
        <f t="shared" si="34"/>
        <v>400</v>
      </c>
      <c r="J44" s="8">
        <f t="shared" si="34"/>
        <v>600</v>
      </c>
      <c r="K44" s="8">
        <f t="shared" si="34"/>
        <v>7000</v>
      </c>
      <c r="L44" s="8">
        <f t="shared" si="34"/>
        <v>5000</v>
      </c>
      <c r="M44" s="8">
        <f t="shared" si="34"/>
        <v>10400</v>
      </c>
      <c r="N44" s="8">
        <f t="shared" si="34"/>
        <v>3000</v>
      </c>
      <c r="O44" s="8">
        <f t="shared" si="34"/>
        <v>600</v>
      </c>
      <c r="P44" s="8">
        <f t="shared" si="34"/>
        <v>1450</v>
      </c>
      <c r="Q44" s="8">
        <f t="shared" si="34"/>
        <v>0</v>
      </c>
      <c r="R44" s="8">
        <f t="shared" si="34"/>
        <v>8000</v>
      </c>
      <c r="S44" s="8">
        <f t="shared" si="34"/>
        <v>450</v>
      </c>
      <c r="T44" s="8">
        <f t="shared" si="34"/>
        <v>2000</v>
      </c>
      <c r="U44" s="8">
        <f t="shared" si="34"/>
        <v>300</v>
      </c>
      <c r="V44" s="8">
        <f t="shared" si="34"/>
        <v>1200</v>
      </c>
      <c r="W44" s="8">
        <f t="shared" si="34"/>
        <v>0</v>
      </c>
      <c r="X44" s="8">
        <f t="shared" si="34"/>
        <v>3650</v>
      </c>
      <c r="Y44" s="8">
        <f t="shared" si="22"/>
        <v>96391.2</v>
      </c>
      <c r="Z44" s="9"/>
    </row>
    <row r="45" spans="1:26">
      <c r="A45" s="5" t="s">
        <v>124</v>
      </c>
      <c r="B45" s="6" t="s">
        <v>131</v>
      </c>
      <c r="C45" s="6" t="s">
        <v>35</v>
      </c>
      <c r="D45" s="7" t="s">
        <v>132</v>
      </c>
      <c r="E45" s="10">
        <v>3000</v>
      </c>
      <c r="F45" s="10">
        <v>2000</v>
      </c>
      <c r="G45" s="10">
        <v>3950</v>
      </c>
      <c r="H45" s="10">
        <v>600</v>
      </c>
      <c r="I45" s="10">
        <v>400</v>
      </c>
      <c r="J45" s="10">
        <v>600</v>
      </c>
      <c r="K45" s="10">
        <v>7000</v>
      </c>
      <c r="L45" s="10">
        <v>5000</v>
      </c>
      <c r="M45" s="10">
        <v>10400</v>
      </c>
      <c r="N45" s="10">
        <v>3000</v>
      </c>
      <c r="O45" s="10">
        <v>600</v>
      </c>
      <c r="P45" s="10">
        <v>1450</v>
      </c>
      <c r="Q45" s="10">
        <v>0</v>
      </c>
      <c r="R45" s="10">
        <v>8000</v>
      </c>
      <c r="S45" s="10">
        <v>450</v>
      </c>
      <c r="T45" s="10">
        <v>2000</v>
      </c>
      <c r="U45" s="10">
        <v>300</v>
      </c>
      <c r="V45" s="10">
        <v>1200</v>
      </c>
      <c r="W45" s="10"/>
      <c r="X45" s="10">
        <v>3650</v>
      </c>
      <c r="Y45" s="19">
        <f t="shared" si="22"/>
        <v>53600</v>
      </c>
      <c r="Z45" s="9"/>
    </row>
    <row r="46" spans="1:26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8">
        <f t="shared" si="22"/>
        <v>0</v>
      </c>
      <c r="Z46" s="9"/>
    </row>
    <row r="47" spans="1:26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8">
        <f t="shared" si="22"/>
        <v>0</v>
      </c>
      <c r="Z47" s="9"/>
    </row>
    <row r="48" spans="1:26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>
        <v>42791.199999999997</v>
      </c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8">
        <f t="shared" si="22"/>
        <v>42791.199999999997</v>
      </c>
      <c r="Z48" s="15"/>
    </row>
    <row r="49" spans="1:26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5131040.8600000003</v>
      </c>
      <c r="F49" s="8">
        <f>F50+F68+F70+F72+F74+F76+F78+F80+F82+F90</f>
        <v>9114897.8099999987</v>
      </c>
      <c r="G49" s="8">
        <f t="shared" ref="G49:X49" si="35">G50+G68+G70+G72+G74+G76+G78+G80+G82+G90</f>
        <v>14540078.02</v>
      </c>
      <c r="H49" s="8">
        <f t="shared" si="35"/>
        <v>3138634.9099999997</v>
      </c>
      <c r="I49" s="8">
        <f t="shared" si="35"/>
        <v>1153587.8600000001</v>
      </c>
      <c r="J49" s="8">
        <f t="shared" si="35"/>
        <v>1181865.3700000001</v>
      </c>
      <c r="K49" s="8">
        <f t="shared" si="35"/>
        <v>3211253.71</v>
      </c>
      <c r="L49" s="8">
        <f t="shared" si="35"/>
        <v>4851411.4799999995</v>
      </c>
      <c r="M49" s="8">
        <f t="shared" si="35"/>
        <v>21922662.109999999</v>
      </c>
      <c r="N49" s="8">
        <f t="shared" si="35"/>
        <v>1476217.09</v>
      </c>
      <c r="O49" s="8">
        <f t="shared" si="35"/>
        <v>2104928</v>
      </c>
      <c r="P49" s="8">
        <f t="shared" si="35"/>
        <v>5910981.3799999999</v>
      </c>
      <c r="Q49" s="8">
        <f t="shared" si="35"/>
        <v>995225.30999999994</v>
      </c>
      <c r="R49" s="8">
        <f t="shared" si="35"/>
        <v>7983266.7200000007</v>
      </c>
      <c r="S49" s="8">
        <f t="shared" si="35"/>
        <v>2104136.86</v>
      </c>
      <c r="T49" s="8">
        <f t="shared" si="35"/>
        <v>3442946.46</v>
      </c>
      <c r="U49" s="8">
        <f t="shared" si="35"/>
        <v>3435758.31</v>
      </c>
      <c r="V49" s="8">
        <f t="shared" si="35"/>
        <v>4200455.8699999992</v>
      </c>
      <c r="W49" s="8">
        <f t="shared" si="35"/>
        <v>335882.29</v>
      </c>
      <c r="X49" s="8">
        <f t="shared" si="35"/>
        <v>2760567.0300000003</v>
      </c>
      <c r="Y49" s="8">
        <f t="shared" si="22"/>
        <v>98995797.450000003</v>
      </c>
      <c r="Z49" s="9"/>
    </row>
    <row r="50" spans="1:26">
      <c r="A50" s="5" t="s">
        <v>136</v>
      </c>
      <c r="B50" s="6" t="s">
        <v>144</v>
      </c>
      <c r="C50" s="6"/>
      <c r="D50" s="7" t="s">
        <v>145</v>
      </c>
      <c r="E50" s="8">
        <v>3748650</v>
      </c>
      <c r="F50" s="8">
        <v>7405470</v>
      </c>
      <c r="G50" s="8">
        <v>10837250</v>
      </c>
      <c r="H50" s="8">
        <v>2375400</v>
      </c>
      <c r="I50" s="8">
        <v>858000</v>
      </c>
      <c r="J50" s="8">
        <v>858000</v>
      </c>
      <c r="K50" s="8">
        <v>2253680</v>
      </c>
      <c r="L50" s="8">
        <v>3566420</v>
      </c>
      <c r="M50" s="8">
        <v>17629320</v>
      </c>
      <c r="N50" s="8">
        <v>1118260</v>
      </c>
      <c r="O50" s="8">
        <v>1507220</v>
      </c>
      <c r="P50" s="8">
        <v>4753650</v>
      </c>
      <c r="Q50" s="8">
        <v>858000</v>
      </c>
      <c r="R50" s="8">
        <v>6541980</v>
      </c>
      <c r="S50" s="8">
        <v>1430000</v>
      </c>
      <c r="T50" s="8">
        <v>2409820</v>
      </c>
      <c r="U50" s="8">
        <v>2596890</v>
      </c>
      <c r="V50" s="8">
        <v>2978150</v>
      </c>
      <c r="W50" s="8">
        <v>156800</v>
      </c>
      <c r="X50" s="8">
        <v>2073500</v>
      </c>
      <c r="Y50" s="8">
        <f t="shared" si="22"/>
        <v>75956460</v>
      </c>
      <c r="Z50" s="9"/>
    </row>
    <row r="51" spans="1:26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  <c r="Y51" s="8">
        <f t="shared" si="22"/>
        <v>0</v>
      </c>
      <c r="Z51" s="9"/>
    </row>
    <row r="52" spans="1:26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  <c r="X52" s="10"/>
      <c r="Y52" s="8">
        <f t="shared" si="22"/>
        <v>0</v>
      </c>
      <c r="Z52" s="9"/>
    </row>
    <row r="53" spans="1:26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  <c r="X53" s="10"/>
      <c r="Y53" s="8">
        <f t="shared" si="22"/>
        <v>0</v>
      </c>
      <c r="Z53" s="9"/>
    </row>
    <row r="54" spans="1:26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  <c r="X54" s="10"/>
      <c r="Y54" s="8">
        <f t="shared" si="22"/>
        <v>0</v>
      </c>
      <c r="Z54" s="9"/>
    </row>
    <row r="55" spans="1:26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  <c r="X55" s="10"/>
      <c r="Y55" s="8">
        <f t="shared" si="22"/>
        <v>0</v>
      </c>
      <c r="Z55" s="9"/>
    </row>
    <row r="56" spans="1:26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  <c r="X56" s="10"/>
      <c r="Y56" s="8">
        <f t="shared" si="22"/>
        <v>0</v>
      </c>
      <c r="Z56" s="9"/>
    </row>
    <row r="57" spans="1:26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  <c r="X57" s="10"/>
      <c r="Y57" s="8">
        <f t="shared" si="22"/>
        <v>0</v>
      </c>
      <c r="Z57" s="9"/>
    </row>
    <row r="58" spans="1:26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0"/>
      <c r="X58" s="10"/>
      <c r="Y58" s="8">
        <f t="shared" si="22"/>
        <v>0</v>
      </c>
      <c r="Z58" s="9"/>
    </row>
    <row r="59" spans="1:26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  <c r="X59" s="10"/>
      <c r="Y59" s="8">
        <f t="shared" si="22"/>
        <v>0</v>
      </c>
      <c r="Z59" s="9"/>
    </row>
    <row r="60" spans="1:26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187432.5</v>
      </c>
      <c r="F60" s="10">
        <v>370273.5</v>
      </c>
      <c r="G60" s="10">
        <v>541862.5</v>
      </c>
      <c r="H60" s="10">
        <v>118770</v>
      </c>
      <c r="I60" s="10">
        <v>19877</v>
      </c>
      <c r="J60" s="10">
        <v>40469</v>
      </c>
      <c r="K60" s="10">
        <v>112684</v>
      </c>
      <c r="L60" s="10">
        <v>170027</v>
      </c>
      <c r="M60" s="10">
        <v>881466.00000000012</v>
      </c>
      <c r="N60" s="10">
        <v>55913</v>
      </c>
      <c r="O60" s="10">
        <v>66638</v>
      </c>
      <c r="P60" s="10">
        <v>237682.5</v>
      </c>
      <c r="Q60" s="10">
        <v>6149</v>
      </c>
      <c r="R60" s="10">
        <v>327099</v>
      </c>
      <c r="S60" s="10">
        <v>65351</v>
      </c>
      <c r="T60" s="10">
        <v>120491</v>
      </c>
      <c r="U60" s="10">
        <v>129844.5</v>
      </c>
      <c r="V60" s="10">
        <v>148907.5</v>
      </c>
      <c r="W60" s="10">
        <v>7840</v>
      </c>
      <c r="X60" s="10">
        <v>84084</v>
      </c>
      <c r="Y60" s="8">
        <f t="shared" si="22"/>
        <v>3692861</v>
      </c>
      <c r="Z60" s="9"/>
    </row>
    <row r="61" spans="1:26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  <c r="Y61" s="8">
        <f t="shared" si="22"/>
        <v>0</v>
      </c>
      <c r="Z61" s="9"/>
    </row>
    <row r="62" spans="1:26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0"/>
      <c r="Y62" s="8">
        <f t="shared" si="22"/>
        <v>0</v>
      </c>
      <c r="Z62" s="9"/>
    </row>
    <row r="63" spans="1:26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  <c r="X63" s="10"/>
      <c r="Y63" s="8">
        <f t="shared" si="22"/>
        <v>0</v>
      </c>
      <c r="Z63" s="9"/>
    </row>
    <row r="64" spans="1:26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0"/>
      <c r="X64" s="10"/>
      <c r="Y64" s="8">
        <f t="shared" si="22"/>
        <v>0</v>
      </c>
      <c r="Z64" s="9"/>
    </row>
    <row r="65" spans="1:26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0"/>
      <c r="X65" s="10"/>
      <c r="Y65" s="8">
        <f t="shared" si="22"/>
        <v>0</v>
      </c>
      <c r="Z65" s="9"/>
    </row>
    <row r="66" spans="1:26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0"/>
      <c r="X66" s="10"/>
      <c r="Y66" s="8">
        <f t="shared" si="22"/>
        <v>0</v>
      </c>
      <c r="Z66" s="9"/>
    </row>
    <row r="67" spans="1:26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0"/>
      <c r="X67" s="10"/>
      <c r="Y67" s="8">
        <f t="shared" si="22"/>
        <v>0</v>
      </c>
      <c r="Z67" s="9"/>
    </row>
    <row r="68" spans="1:26">
      <c r="A68" s="5" t="s">
        <v>176</v>
      </c>
      <c r="B68" s="6" t="s">
        <v>183</v>
      </c>
      <c r="C68" s="6"/>
      <c r="D68" s="7"/>
      <c r="E68" s="8">
        <f>E69</f>
        <v>38400</v>
      </c>
      <c r="F68" s="8">
        <f>F69</f>
        <v>55200</v>
      </c>
      <c r="G68" s="8">
        <f t="shared" ref="G68:X68" si="36">G69</f>
        <v>111600</v>
      </c>
      <c r="H68" s="8">
        <f t="shared" si="36"/>
        <v>24000</v>
      </c>
      <c r="I68" s="8">
        <f t="shared" si="36"/>
        <v>6400</v>
      </c>
      <c r="J68" s="8">
        <f t="shared" si="36"/>
        <v>8400</v>
      </c>
      <c r="K68" s="8">
        <f t="shared" si="36"/>
        <v>31600</v>
      </c>
      <c r="L68" s="8">
        <f t="shared" si="36"/>
        <v>39200</v>
      </c>
      <c r="M68" s="8">
        <f t="shared" si="36"/>
        <v>137200</v>
      </c>
      <c r="N68" s="8">
        <f t="shared" si="36"/>
        <v>11600</v>
      </c>
      <c r="O68" s="8">
        <f t="shared" si="36"/>
        <v>17200</v>
      </c>
      <c r="P68" s="8">
        <f t="shared" si="36"/>
        <v>39600</v>
      </c>
      <c r="Q68" s="8">
        <f t="shared" si="36"/>
        <v>2400</v>
      </c>
      <c r="R68" s="8">
        <f t="shared" si="36"/>
        <v>49600</v>
      </c>
      <c r="S68" s="8">
        <f t="shared" si="36"/>
        <v>18000</v>
      </c>
      <c r="T68" s="8">
        <f t="shared" si="36"/>
        <v>17600</v>
      </c>
      <c r="U68" s="8">
        <f t="shared" si="36"/>
        <v>24800</v>
      </c>
      <c r="V68" s="8">
        <f t="shared" si="36"/>
        <v>31200</v>
      </c>
      <c r="W68" s="8">
        <f t="shared" si="36"/>
        <v>2800</v>
      </c>
      <c r="X68" s="8">
        <f t="shared" si="36"/>
        <v>19200</v>
      </c>
      <c r="Y68" s="8">
        <f t="shared" si="22"/>
        <v>686000</v>
      </c>
      <c r="Z68" s="9"/>
    </row>
    <row r="69" spans="1:26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38400</v>
      </c>
      <c r="F69" s="8">
        <f>F93*400</f>
        <v>55200</v>
      </c>
      <c r="G69" s="8">
        <f t="shared" ref="G69:X69" si="37">G93*400</f>
        <v>111600</v>
      </c>
      <c r="H69" s="8">
        <f t="shared" si="37"/>
        <v>24000</v>
      </c>
      <c r="I69" s="8">
        <f t="shared" si="37"/>
        <v>6400</v>
      </c>
      <c r="J69" s="8">
        <f t="shared" si="37"/>
        <v>8400</v>
      </c>
      <c r="K69" s="8">
        <f t="shared" si="37"/>
        <v>31600</v>
      </c>
      <c r="L69" s="8">
        <f t="shared" si="37"/>
        <v>39200</v>
      </c>
      <c r="M69" s="8">
        <f t="shared" si="37"/>
        <v>137200</v>
      </c>
      <c r="N69" s="8">
        <f t="shared" si="37"/>
        <v>11600</v>
      </c>
      <c r="O69" s="8">
        <f t="shared" si="37"/>
        <v>17200</v>
      </c>
      <c r="P69" s="8">
        <f t="shared" si="37"/>
        <v>39600</v>
      </c>
      <c r="Q69" s="8">
        <f t="shared" si="37"/>
        <v>2400</v>
      </c>
      <c r="R69" s="8">
        <f t="shared" si="37"/>
        <v>49600</v>
      </c>
      <c r="S69" s="8">
        <f t="shared" si="37"/>
        <v>18000</v>
      </c>
      <c r="T69" s="8">
        <f t="shared" si="37"/>
        <v>17600</v>
      </c>
      <c r="U69" s="8">
        <f t="shared" si="37"/>
        <v>24800</v>
      </c>
      <c r="V69" s="8">
        <f t="shared" si="37"/>
        <v>31200</v>
      </c>
      <c r="W69" s="8">
        <f t="shared" si="37"/>
        <v>2800</v>
      </c>
      <c r="X69" s="8">
        <f t="shared" si="37"/>
        <v>19200</v>
      </c>
      <c r="Y69" s="8">
        <f t="shared" si="22"/>
        <v>686000</v>
      </c>
      <c r="Z69" s="9"/>
    </row>
    <row r="70" spans="1:26">
      <c r="A70" s="5" t="s">
        <v>180</v>
      </c>
      <c r="B70" s="6" t="s">
        <v>188</v>
      </c>
      <c r="C70" s="6"/>
      <c r="D70" s="7" t="s">
        <v>28</v>
      </c>
      <c r="E70" s="8">
        <f>E71</f>
        <v>197400</v>
      </c>
      <c r="F70" s="8">
        <f>F71</f>
        <v>223022.09999999998</v>
      </c>
      <c r="G70" s="8">
        <f t="shared" ref="G70:X70" si="38">G71</f>
        <v>517599.44999999995</v>
      </c>
      <c r="H70" s="8">
        <f t="shared" si="38"/>
        <v>71644.05</v>
      </c>
      <c r="I70" s="8">
        <f t="shared" si="38"/>
        <v>104925</v>
      </c>
      <c r="J70" s="8">
        <f t="shared" si="38"/>
        <v>97500</v>
      </c>
      <c r="K70" s="8">
        <f t="shared" si="38"/>
        <v>198000</v>
      </c>
      <c r="L70" s="8">
        <f t="shared" si="38"/>
        <v>147436.04999999999</v>
      </c>
      <c r="M70" s="8">
        <f t="shared" si="38"/>
        <v>522704.39999999997</v>
      </c>
      <c r="N70" s="8">
        <f t="shared" si="38"/>
        <v>55978.8</v>
      </c>
      <c r="O70" s="8">
        <f t="shared" si="38"/>
        <v>69180</v>
      </c>
      <c r="P70" s="8">
        <f t="shared" si="38"/>
        <v>170335.94999999998</v>
      </c>
      <c r="Q70" s="8">
        <f t="shared" si="38"/>
        <v>36120</v>
      </c>
      <c r="R70" s="8">
        <f t="shared" si="38"/>
        <v>215058.15</v>
      </c>
      <c r="S70" s="8">
        <f t="shared" si="38"/>
        <v>64290</v>
      </c>
      <c r="T70" s="8">
        <f t="shared" si="38"/>
        <v>484500</v>
      </c>
      <c r="U70" s="8">
        <f t="shared" si="38"/>
        <v>69477.45</v>
      </c>
      <c r="V70" s="8">
        <f t="shared" si="38"/>
        <v>125589.30000000002</v>
      </c>
      <c r="W70" s="8">
        <f t="shared" si="38"/>
        <v>42000</v>
      </c>
      <c r="X70" s="8">
        <f t="shared" si="38"/>
        <v>202170</v>
      </c>
      <c r="Y70" s="8">
        <f t="shared" si="22"/>
        <v>3614930.7</v>
      </c>
      <c r="Z70" s="9"/>
    </row>
    <row r="71" spans="1:26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197400</v>
      </c>
      <c r="F71" s="8">
        <f>F105*15</f>
        <v>223022.09999999998</v>
      </c>
      <c r="G71" s="8">
        <f t="shared" ref="G71:X71" si="39">G105*15</f>
        <v>517599.44999999995</v>
      </c>
      <c r="H71" s="8">
        <f t="shared" si="39"/>
        <v>71644.05</v>
      </c>
      <c r="I71" s="8">
        <f t="shared" si="39"/>
        <v>104925</v>
      </c>
      <c r="J71" s="8">
        <f t="shared" si="39"/>
        <v>97500</v>
      </c>
      <c r="K71" s="8">
        <f t="shared" si="39"/>
        <v>198000</v>
      </c>
      <c r="L71" s="8">
        <f t="shared" si="39"/>
        <v>147436.04999999999</v>
      </c>
      <c r="M71" s="8">
        <f t="shared" si="39"/>
        <v>522704.39999999997</v>
      </c>
      <c r="N71" s="8">
        <f t="shared" si="39"/>
        <v>55978.8</v>
      </c>
      <c r="O71" s="8">
        <f t="shared" si="39"/>
        <v>69180</v>
      </c>
      <c r="P71" s="8">
        <f t="shared" si="39"/>
        <v>170335.94999999998</v>
      </c>
      <c r="Q71" s="8">
        <f t="shared" si="39"/>
        <v>36120</v>
      </c>
      <c r="R71" s="8">
        <f t="shared" si="39"/>
        <v>215058.15</v>
      </c>
      <c r="S71" s="8">
        <f t="shared" si="39"/>
        <v>64290</v>
      </c>
      <c r="T71" s="8">
        <f t="shared" si="39"/>
        <v>484500</v>
      </c>
      <c r="U71" s="8">
        <f t="shared" si="39"/>
        <v>69477.45</v>
      </c>
      <c r="V71" s="8">
        <f t="shared" si="39"/>
        <v>125589.30000000002</v>
      </c>
      <c r="W71" s="8">
        <f t="shared" si="39"/>
        <v>42000</v>
      </c>
      <c r="X71" s="8">
        <f t="shared" si="39"/>
        <v>202170</v>
      </c>
      <c r="Y71" s="8">
        <f t="shared" si="22"/>
        <v>3614930.7</v>
      </c>
      <c r="Z71" s="9"/>
    </row>
    <row r="72" spans="1:26">
      <c r="A72" s="5" t="s">
        <v>184</v>
      </c>
      <c r="B72" s="6" t="s">
        <v>193</v>
      </c>
      <c r="C72" s="6"/>
      <c r="D72" s="7" t="s">
        <v>28</v>
      </c>
      <c r="E72" s="8">
        <f>E73</f>
        <v>69528</v>
      </c>
      <c r="F72" s="8">
        <f>F73</f>
        <v>52960</v>
      </c>
      <c r="G72" s="8">
        <f t="shared" ref="G72:X72" si="40">G73</f>
        <v>139576</v>
      </c>
      <c r="H72" s="8">
        <f t="shared" si="40"/>
        <v>28680</v>
      </c>
      <c r="I72" s="8">
        <f t="shared" si="40"/>
        <v>22728</v>
      </c>
      <c r="J72" s="8">
        <f t="shared" si="40"/>
        <v>18496.8</v>
      </c>
      <c r="K72" s="8">
        <f t="shared" si="40"/>
        <v>32800</v>
      </c>
      <c r="L72" s="8">
        <f t="shared" si="40"/>
        <v>42640</v>
      </c>
      <c r="M72" s="8">
        <f t="shared" si="40"/>
        <v>98712</v>
      </c>
      <c r="N72" s="8">
        <f t="shared" si="40"/>
        <v>14288</v>
      </c>
      <c r="O72" s="8">
        <f t="shared" si="40"/>
        <v>13736</v>
      </c>
      <c r="P72" s="8">
        <f t="shared" si="40"/>
        <v>32584</v>
      </c>
      <c r="Q72" s="8">
        <f t="shared" si="40"/>
        <v>18499.599999999999</v>
      </c>
      <c r="R72" s="8">
        <f t="shared" si="40"/>
        <v>63040</v>
      </c>
      <c r="S72" s="8">
        <f t="shared" si="40"/>
        <v>18800</v>
      </c>
      <c r="T72" s="8">
        <f t="shared" si="40"/>
        <v>104859.6</v>
      </c>
      <c r="U72" s="8">
        <f t="shared" si="40"/>
        <v>25808</v>
      </c>
      <c r="V72" s="8">
        <f t="shared" si="40"/>
        <v>51968</v>
      </c>
      <c r="W72" s="8">
        <f t="shared" si="40"/>
        <v>0</v>
      </c>
      <c r="X72" s="8">
        <f t="shared" si="40"/>
        <v>48357.599999999999</v>
      </c>
      <c r="Y72" s="8">
        <f t="shared" si="22"/>
        <v>898061.6</v>
      </c>
      <c r="Z72" s="9"/>
    </row>
    <row r="73" spans="1:26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69528</v>
      </c>
      <c r="F73" s="8">
        <f>F106*8</f>
        <v>52960</v>
      </c>
      <c r="G73" s="8">
        <f t="shared" ref="G73:X73" si="41">G106*8</f>
        <v>139576</v>
      </c>
      <c r="H73" s="8">
        <f t="shared" si="41"/>
        <v>28680</v>
      </c>
      <c r="I73" s="8">
        <f t="shared" si="41"/>
        <v>22728</v>
      </c>
      <c r="J73" s="8">
        <f t="shared" si="41"/>
        <v>18496.8</v>
      </c>
      <c r="K73" s="8">
        <f t="shared" si="41"/>
        <v>32800</v>
      </c>
      <c r="L73" s="8">
        <f t="shared" si="41"/>
        <v>42640</v>
      </c>
      <c r="M73" s="8">
        <f t="shared" si="41"/>
        <v>98712</v>
      </c>
      <c r="N73" s="8">
        <f t="shared" si="41"/>
        <v>14288</v>
      </c>
      <c r="O73" s="8">
        <f t="shared" si="41"/>
        <v>13736</v>
      </c>
      <c r="P73" s="8">
        <f t="shared" si="41"/>
        <v>32584</v>
      </c>
      <c r="Q73" s="8">
        <f t="shared" si="41"/>
        <v>18499.599999999999</v>
      </c>
      <c r="R73" s="8">
        <f t="shared" si="41"/>
        <v>63040</v>
      </c>
      <c r="S73" s="8">
        <f t="shared" si="41"/>
        <v>18800</v>
      </c>
      <c r="T73" s="8">
        <f t="shared" si="41"/>
        <v>104859.6</v>
      </c>
      <c r="U73" s="8">
        <f t="shared" si="41"/>
        <v>25808</v>
      </c>
      <c r="V73" s="8">
        <f t="shared" si="41"/>
        <v>51968</v>
      </c>
      <c r="W73" s="8">
        <f t="shared" si="41"/>
        <v>0</v>
      </c>
      <c r="X73" s="8">
        <f t="shared" si="41"/>
        <v>48357.599999999999</v>
      </c>
      <c r="Y73" s="8">
        <f t="shared" si="22"/>
        <v>898061.6</v>
      </c>
      <c r="Z73" s="9"/>
    </row>
    <row r="74" spans="1:26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>F75</f>
        <v>0</v>
      </c>
      <c r="G74" s="8">
        <f t="shared" ref="G74:X74" si="42">G75</f>
        <v>0</v>
      </c>
      <c r="H74" s="8">
        <f t="shared" si="42"/>
        <v>0</v>
      </c>
      <c r="I74" s="8">
        <f t="shared" si="42"/>
        <v>0</v>
      </c>
      <c r="J74" s="8">
        <f t="shared" si="42"/>
        <v>0</v>
      </c>
      <c r="K74" s="8">
        <f t="shared" si="42"/>
        <v>0</v>
      </c>
      <c r="L74" s="8">
        <f t="shared" si="42"/>
        <v>0</v>
      </c>
      <c r="M74" s="8">
        <f t="shared" si="42"/>
        <v>0</v>
      </c>
      <c r="N74" s="8">
        <f t="shared" si="42"/>
        <v>0</v>
      </c>
      <c r="O74" s="8">
        <f t="shared" si="42"/>
        <v>0</v>
      </c>
      <c r="P74" s="8">
        <f t="shared" si="42"/>
        <v>0</v>
      </c>
      <c r="Q74" s="8">
        <f t="shared" si="42"/>
        <v>0</v>
      </c>
      <c r="R74" s="8">
        <f t="shared" si="42"/>
        <v>0</v>
      </c>
      <c r="S74" s="8">
        <f t="shared" si="42"/>
        <v>0</v>
      </c>
      <c r="T74" s="8">
        <f t="shared" si="42"/>
        <v>0</v>
      </c>
      <c r="U74" s="8">
        <f t="shared" si="42"/>
        <v>0</v>
      </c>
      <c r="V74" s="8">
        <f t="shared" si="42"/>
        <v>0</v>
      </c>
      <c r="W74" s="8">
        <f t="shared" si="42"/>
        <v>0</v>
      </c>
      <c r="X74" s="8">
        <f t="shared" si="42"/>
        <v>0</v>
      </c>
      <c r="Y74" s="8">
        <f t="shared" si="22"/>
        <v>0</v>
      </c>
      <c r="Z74" s="9"/>
    </row>
    <row r="75" spans="1:26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8">
        <f t="shared" si="22"/>
        <v>0</v>
      </c>
      <c r="Z75" s="9"/>
    </row>
    <row r="76" spans="1:26">
      <c r="A76" s="5" t="s">
        <v>194</v>
      </c>
      <c r="B76" s="6" t="s">
        <v>202</v>
      </c>
      <c r="C76" s="6"/>
      <c r="D76" s="7" t="s">
        <v>28</v>
      </c>
      <c r="E76" s="8">
        <f>E77</f>
        <v>414720</v>
      </c>
      <c r="F76" s="8">
        <f>F77</f>
        <v>596160</v>
      </c>
      <c r="G76" s="8">
        <f t="shared" ref="G76:X76" si="43">G77</f>
        <v>1205280</v>
      </c>
      <c r="H76" s="8">
        <f t="shared" si="43"/>
        <v>259200</v>
      </c>
      <c r="I76" s="8">
        <f t="shared" si="43"/>
        <v>69120</v>
      </c>
      <c r="J76" s="8">
        <f t="shared" si="43"/>
        <v>90720</v>
      </c>
      <c r="K76" s="8">
        <f t="shared" si="43"/>
        <v>341280</v>
      </c>
      <c r="L76" s="8">
        <f t="shared" si="43"/>
        <v>423360</v>
      </c>
      <c r="M76" s="8">
        <f t="shared" si="43"/>
        <v>1481760</v>
      </c>
      <c r="N76" s="8">
        <f t="shared" si="43"/>
        <v>125280</v>
      </c>
      <c r="O76" s="8">
        <f t="shared" si="43"/>
        <v>185760</v>
      </c>
      <c r="P76" s="8">
        <f t="shared" si="43"/>
        <v>427680</v>
      </c>
      <c r="Q76" s="8">
        <f t="shared" si="43"/>
        <v>25920</v>
      </c>
      <c r="R76" s="8">
        <f t="shared" si="43"/>
        <v>535680</v>
      </c>
      <c r="S76" s="8">
        <f t="shared" si="43"/>
        <v>194400</v>
      </c>
      <c r="T76" s="8">
        <f t="shared" si="43"/>
        <v>190080</v>
      </c>
      <c r="U76" s="8">
        <f t="shared" si="43"/>
        <v>267840</v>
      </c>
      <c r="V76" s="8">
        <f t="shared" si="43"/>
        <v>336960</v>
      </c>
      <c r="W76" s="8">
        <f t="shared" si="43"/>
        <v>30240</v>
      </c>
      <c r="X76" s="8">
        <f t="shared" si="43"/>
        <v>207360</v>
      </c>
      <c r="Y76" s="8">
        <f t="shared" si="22"/>
        <v>7408800</v>
      </c>
      <c r="Z76" s="9"/>
    </row>
    <row r="77" spans="1:26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414720</v>
      </c>
      <c r="F77" s="8">
        <f>F93*4320</f>
        <v>596160</v>
      </c>
      <c r="G77" s="8">
        <f t="shared" ref="G77:X77" si="44">G93*4320</f>
        <v>1205280</v>
      </c>
      <c r="H77" s="8">
        <f t="shared" si="44"/>
        <v>259200</v>
      </c>
      <c r="I77" s="8">
        <f t="shared" si="44"/>
        <v>69120</v>
      </c>
      <c r="J77" s="8">
        <f t="shared" si="44"/>
        <v>90720</v>
      </c>
      <c r="K77" s="8">
        <f t="shared" si="44"/>
        <v>341280</v>
      </c>
      <c r="L77" s="8">
        <f t="shared" si="44"/>
        <v>423360</v>
      </c>
      <c r="M77" s="8">
        <f t="shared" si="44"/>
        <v>1481760</v>
      </c>
      <c r="N77" s="8">
        <f t="shared" si="44"/>
        <v>125280</v>
      </c>
      <c r="O77" s="8">
        <f t="shared" si="44"/>
        <v>185760</v>
      </c>
      <c r="P77" s="8">
        <f t="shared" si="44"/>
        <v>427680</v>
      </c>
      <c r="Q77" s="8">
        <f t="shared" si="44"/>
        <v>25920</v>
      </c>
      <c r="R77" s="8">
        <f t="shared" si="44"/>
        <v>535680</v>
      </c>
      <c r="S77" s="8">
        <f t="shared" si="44"/>
        <v>194400</v>
      </c>
      <c r="T77" s="8">
        <f t="shared" si="44"/>
        <v>190080</v>
      </c>
      <c r="U77" s="8">
        <f t="shared" si="44"/>
        <v>267840</v>
      </c>
      <c r="V77" s="8">
        <f t="shared" si="44"/>
        <v>336960</v>
      </c>
      <c r="W77" s="8">
        <f t="shared" si="44"/>
        <v>30240</v>
      </c>
      <c r="X77" s="8">
        <f t="shared" si="44"/>
        <v>207360</v>
      </c>
      <c r="Y77" s="8">
        <f t="shared" si="22"/>
        <v>7408800</v>
      </c>
      <c r="Z77" s="9"/>
    </row>
    <row r="78" spans="1:26">
      <c r="A78" s="5" t="s">
        <v>199</v>
      </c>
      <c r="B78" s="6" t="s">
        <v>207</v>
      </c>
      <c r="C78" s="6"/>
      <c r="D78" s="7" t="s">
        <v>28</v>
      </c>
      <c r="E78" s="8">
        <f>E79</f>
        <v>417942.86</v>
      </c>
      <c r="F78" s="8">
        <f>F79</f>
        <v>608485.71</v>
      </c>
      <c r="G78" s="8">
        <f t="shared" ref="G78:X78" si="45">G79</f>
        <v>1167572.57</v>
      </c>
      <c r="H78" s="8">
        <f t="shared" si="45"/>
        <v>258030.86</v>
      </c>
      <c r="I78" s="8">
        <f t="shared" si="45"/>
        <v>60414.86</v>
      </c>
      <c r="J78" s="8">
        <f t="shared" si="45"/>
        <v>76748.570000000007</v>
      </c>
      <c r="K78" s="8">
        <f t="shared" si="45"/>
        <v>317173.71000000002</v>
      </c>
      <c r="L78" s="8">
        <f t="shared" si="45"/>
        <v>372675.43</v>
      </c>
      <c r="M78" s="8">
        <f t="shared" si="45"/>
        <v>1505365.71</v>
      </c>
      <c r="N78" s="8">
        <f t="shared" si="45"/>
        <v>118810.29</v>
      </c>
      <c r="O78" s="8">
        <f t="shared" si="45"/>
        <v>161832</v>
      </c>
      <c r="P78" s="8">
        <f t="shared" si="45"/>
        <v>450411.43</v>
      </c>
      <c r="Q78" s="8">
        <f t="shared" si="45"/>
        <v>22285.71</v>
      </c>
      <c r="R78" s="8">
        <f t="shared" si="45"/>
        <v>536468.56999999995</v>
      </c>
      <c r="S78" s="8">
        <f t="shared" si="45"/>
        <v>181446.86</v>
      </c>
      <c r="T78" s="8">
        <f t="shared" si="45"/>
        <v>180486.86</v>
      </c>
      <c r="U78" s="8">
        <f t="shared" si="45"/>
        <v>272622.86</v>
      </c>
      <c r="V78" s="8">
        <f t="shared" si="45"/>
        <v>361388.57</v>
      </c>
      <c r="W78" s="8">
        <f t="shared" si="45"/>
        <v>34282.29</v>
      </c>
      <c r="X78" s="8">
        <f t="shared" si="45"/>
        <v>173259.43</v>
      </c>
      <c r="Y78" s="8">
        <f t="shared" si="22"/>
        <v>7277705.1500000004</v>
      </c>
      <c r="Z78" s="9"/>
    </row>
    <row r="79" spans="1:26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417942.86</v>
      </c>
      <c r="F79" s="8">
        <f>ROUND(F28/0.07*0.02,2)</f>
        <v>608485.71</v>
      </c>
      <c r="G79" s="8">
        <f t="shared" ref="G79:X79" si="46">ROUND(G28/0.07*0.02,2)</f>
        <v>1167572.57</v>
      </c>
      <c r="H79" s="8">
        <f t="shared" si="46"/>
        <v>258030.86</v>
      </c>
      <c r="I79" s="8">
        <f t="shared" si="46"/>
        <v>60414.86</v>
      </c>
      <c r="J79" s="8">
        <f t="shared" si="46"/>
        <v>76748.570000000007</v>
      </c>
      <c r="K79" s="8">
        <f t="shared" si="46"/>
        <v>317173.71000000002</v>
      </c>
      <c r="L79" s="8">
        <f t="shared" si="46"/>
        <v>372675.43</v>
      </c>
      <c r="M79" s="8">
        <f t="shared" si="46"/>
        <v>1505365.71</v>
      </c>
      <c r="N79" s="8">
        <f t="shared" si="46"/>
        <v>118810.29</v>
      </c>
      <c r="O79" s="8">
        <f t="shared" si="46"/>
        <v>161832</v>
      </c>
      <c r="P79" s="8">
        <f t="shared" si="46"/>
        <v>450411.43</v>
      </c>
      <c r="Q79" s="8">
        <f t="shared" si="46"/>
        <v>22285.71</v>
      </c>
      <c r="R79" s="8">
        <f t="shared" si="46"/>
        <v>536468.56999999995</v>
      </c>
      <c r="S79" s="8">
        <f t="shared" si="46"/>
        <v>181446.86</v>
      </c>
      <c r="T79" s="8">
        <f t="shared" si="46"/>
        <v>180486.86</v>
      </c>
      <c r="U79" s="8">
        <f t="shared" si="46"/>
        <v>272622.86</v>
      </c>
      <c r="V79" s="8">
        <f t="shared" si="46"/>
        <v>361388.57</v>
      </c>
      <c r="W79" s="8">
        <f t="shared" si="46"/>
        <v>34282.29</v>
      </c>
      <c r="X79" s="8">
        <f t="shared" si="46"/>
        <v>173259.43</v>
      </c>
      <c r="Y79" s="8">
        <f t="shared" si="22"/>
        <v>7277705.1500000004</v>
      </c>
      <c r="Z79" s="9"/>
    </row>
    <row r="80" spans="1:26">
      <c r="A80" s="5" t="s">
        <v>203</v>
      </c>
      <c r="B80" s="6" t="s">
        <v>211</v>
      </c>
      <c r="C80" s="6"/>
      <c r="D80" s="7" t="s">
        <v>28</v>
      </c>
      <c r="E80" s="8">
        <f>E81</f>
        <v>32000</v>
      </c>
      <c r="F80" s="8">
        <f>F81</f>
        <v>0</v>
      </c>
      <c r="G80" s="8">
        <f t="shared" ref="G80:X80" si="47">G81</f>
        <v>32000</v>
      </c>
      <c r="H80" s="8">
        <f t="shared" si="47"/>
        <v>32000</v>
      </c>
      <c r="I80" s="8">
        <f t="shared" si="47"/>
        <v>0</v>
      </c>
      <c r="J80" s="8">
        <f t="shared" si="47"/>
        <v>0</v>
      </c>
      <c r="K80" s="8">
        <f t="shared" si="47"/>
        <v>0</v>
      </c>
      <c r="L80" s="8">
        <f t="shared" si="47"/>
        <v>32000</v>
      </c>
      <c r="M80" s="8">
        <f t="shared" si="47"/>
        <v>32000</v>
      </c>
      <c r="N80" s="8">
        <f t="shared" si="47"/>
        <v>32000</v>
      </c>
      <c r="O80" s="8">
        <f t="shared" si="47"/>
        <v>0</v>
      </c>
      <c r="P80" s="8">
        <f t="shared" si="47"/>
        <v>32000</v>
      </c>
      <c r="Q80" s="8">
        <f t="shared" si="47"/>
        <v>0</v>
      </c>
      <c r="R80" s="8">
        <f t="shared" si="47"/>
        <v>32000</v>
      </c>
      <c r="S80" s="8">
        <f t="shared" si="47"/>
        <v>0</v>
      </c>
      <c r="T80" s="8">
        <f t="shared" si="47"/>
        <v>0</v>
      </c>
      <c r="U80" s="8">
        <f t="shared" si="47"/>
        <v>32000</v>
      </c>
      <c r="V80" s="8">
        <f t="shared" si="47"/>
        <v>32000</v>
      </c>
      <c r="W80" s="8">
        <f t="shared" si="47"/>
        <v>0</v>
      </c>
      <c r="X80" s="8">
        <f t="shared" si="47"/>
        <v>0</v>
      </c>
      <c r="Y80" s="8">
        <f t="shared" si="22"/>
        <v>320000</v>
      </c>
      <c r="Z80" s="9"/>
    </row>
    <row r="81" spans="1:26" ht="33.75">
      <c r="A81" s="5" t="s">
        <v>206</v>
      </c>
      <c r="B81" s="6" t="s">
        <v>213</v>
      </c>
      <c r="C81" s="6" t="s">
        <v>35</v>
      </c>
      <c r="D81" s="20" t="s">
        <v>214</v>
      </c>
      <c r="E81" s="10">
        <v>32000</v>
      </c>
      <c r="F81" s="10"/>
      <c r="G81" s="10">
        <v>32000</v>
      </c>
      <c r="H81" s="10">
        <v>32000</v>
      </c>
      <c r="I81" s="10"/>
      <c r="J81" s="10"/>
      <c r="K81" s="10"/>
      <c r="L81" s="10">
        <v>32000</v>
      </c>
      <c r="M81" s="10">
        <v>32000</v>
      </c>
      <c r="N81" s="10">
        <v>32000</v>
      </c>
      <c r="O81" s="10"/>
      <c r="P81" s="10">
        <v>32000</v>
      </c>
      <c r="Q81" s="10"/>
      <c r="R81" s="10">
        <v>32000</v>
      </c>
      <c r="S81" s="22"/>
      <c r="T81" s="10"/>
      <c r="U81" s="10">
        <v>32000</v>
      </c>
      <c r="V81" s="10">
        <v>32000</v>
      </c>
      <c r="W81" s="10"/>
      <c r="X81" s="10"/>
      <c r="Y81" s="8">
        <f t="shared" si="22"/>
        <v>320000</v>
      </c>
      <c r="Z81" s="9"/>
    </row>
    <row r="82" spans="1:26">
      <c r="A82" s="5" t="s">
        <v>208</v>
      </c>
      <c r="B82" s="6" t="s">
        <v>216</v>
      </c>
      <c r="C82" s="6"/>
      <c r="D82" s="7" t="s">
        <v>28</v>
      </c>
      <c r="E82" s="8">
        <f>E83+E86+E89</f>
        <v>212400</v>
      </c>
      <c r="F82" s="8">
        <f>F83+F86+F89</f>
        <v>141600</v>
      </c>
      <c r="G82" s="8">
        <f t="shared" ref="G82:X82" si="48">G83+G86+G89</f>
        <v>519200</v>
      </c>
      <c r="H82" s="8">
        <f t="shared" si="48"/>
        <v>89680</v>
      </c>
      <c r="I82" s="8">
        <f t="shared" si="48"/>
        <v>0</v>
      </c>
      <c r="J82" s="8">
        <f t="shared" si="48"/>
        <v>0</v>
      </c>
      <c r="K82" s="8">
        <f t="shared" si="48"/>
        <v>4720</v>
      </c>
      <c r="L82" s="8">
        <f t="shared" si="48"/>
        <v>207680</v>
      </c>
      <c r="M82" s="8">
        <f t="shared" si="48"/>
        <v>495600</v>
      </c>
      <c r="N82" s="8">
        <f t="shared" si="48"/>
        <v>0</v>
      </c>
      <c r="O82" s="8">
        <f t="shared" si="48"/>
        <v>118000</v>
      </c>
      <c r="P82" s="8">
        <f t="shared" si="48"/>
        <v>4720</v>
      </c>
      <c r="Q82" s="8">
        <f t="shared" si="48"/>
        <v>0</v>
      </c>
      <c r="R82" s="8">
        <f t="shared" si="48"/>
        <v>9440</v>
      </c>
      <c r="S82" s="8">
        <f t="shared" si="48"/>
        <v>165200</v>
      </c>
      <c r="T82" s="8">
        <f t="shared" si="48"/>
        <v>23600</v>
      </c>
      <c r="U82" s="8">
        <f t="shared" si="48"/>
        <v>146320</v>
      </c>
      <c r="V82" s="8">
        <f t="shared" si="48"/>
        <v>283200</v>
      </c>
      <c r="W82" s="8">
        <f t="shared" si="48"/>
        <v>37760</v>
      </c>
      <c r="X82" s="8">
        <f t="shared" si="48"/>
        <v>4720</v>
      </c>
      <c r="Y82" s="8">
        <f t="shared" si="22"/>
        <v>2463840</v>
      </c>
      <c r="Z82" s="9"/>
    </row>
    <row r="83" spans="1:26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>F84+F85</f>
        <v>0</v>
      </c>
      <c r="G83" s="8">
        <f t="shared" ref="G83:X83" si="49">G84+G85</f>
        <v>0</v>
      </c>
      <c r="H83" s="8">
        <f t="shared" si="49"/>
        <v>0</v>
      </c>
      <c r="I83" s="8">
        <f t="shared" si="49"/>
        <v>0</v>
      </c>
      <c r="J83" s="8">
        <f t="shared" si="49"/>
        <v>0</v>
      </c>
      <c r="K83" s="8">
        <f t="shared" si="49"/>
        <v>0</v>
      </c>
      <c r="L83" s="8">
        <f t="shared" si="49"/>
        <v>0</v>
      </c>
      <c r="M83" s="8">
        <f t="shared" si="49"/>
        <v>0</v>
      </c>
      <c r="N83" s="8">
        <f t="shared" si="49"/>
        <v>0</v>
      </c>
      <c r="O83" s="8">
        <f t="shared" si="49"/>
        <v>0</v>
      </c>
      <c r="P83" s="8">
        <f t="shared" si="49"/>
        <v>0</v>
      </c>
      <c r="Q83" s="8">
        <f t="shared" si="49"/>
        <v>0</v>
      </c>
      <c r="R83" s="8">
        <f t="shared" si="49"/>
        <v>0</v>
      </c>
      <c r="S83" s="8">
        <f t="shared" si="49"/>
        <v>0</v>
      </c>
      <c r="T83" s="8">
        <f t="shared" si="49"/>
        <v>0</v>
      </c>
      <c r="U83" s="8">
        <f t="shared" si="49"/>
        <v>0</v>
      </c>
      <c r="V83" s="8">
        <f t="shared" si="49"/>
        <v>0</v>
      </c>
      <c r="W83" s="8">
        <f t="shared" si="49"/>
        <v>0</v>
      </c>
      <c r="X83" s="8">
        <f t="shared" si="49"/>
        <v>0</v>
      </c>
      <c r="Y83" s="8">
        <f t="shared" si="22"/>
        <v>0</v>
      </c>
      <c r="Z83" s="9"/>
    </row>
    <row r="84" spans="1:26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16"/>
      <c r="R84" s="16"/>
      <c r="S84" s="16"/>
      <c r="T84" s="16"/>
      <c r="U84" s="16"/>
      <c r="V84" s="16"/>
      <c r="W84" s="16"/>
      <c r="X84" s="16"/>
      <c r="Y84" s="8">
        <f t="shared" si="22"/>
        <v>0</v>
      </c>
      <c r="Z84" s="15"/>
    </row>
    <row r="85" spans="1:26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16"/>
      <c r="R85" s="16"/>
      <c r="S85" s="16"/>
      <c r="T85" s="16"/>
      <c r="U85" s="16"/>
      <c r="V85" s="16"/>
      <c r="W85" s="16"/>
      <c r="X85" s="16"/>
      <c r="Y85" s="8">
        <f t="shared" si="22"/>
        <v>0</v>
      </c>
      <c r="Z85" s="15"/>
    </row>
    <row r="86" spans="1:26">
      <c r="A86" s="5" t="s">
        <v>217</v>
      </c>
      <c r="B86" s="6" t="s">
        <v>225</v>
      </c>
      <c r="C86" s="6"/>
      <c r="D86" s="7" t="s">
        <v>28</v>
      </c>
      <c r="E86" s="8">
        <f>E87+E88</f>
        <v>212400</v>
      </c>
      <c r="F86" s="8">
        <f>F87+F88</f>
        <v>141600</v>
      </c>
      <c r="G86" s="8">
        <f t="shared" ref="G86:X86" si="50">G87+G88</f>
        <v>519200</v>
      </c>
      <c r="H86" s="8">
        <f t="shared" si="50"/>
        <v>89680</v>
      </c>
      <c r="I86" s="8">
        <f t="shared" si="50"/>
        <v>0</v>
      </c>
      <c r="J86" s="8">
        <f t="shared" si="50"/>
        <v>0</v>
      </c>
      <c r="K86" s="8">
        <f t="shared" si="50"/>
        <v>4720</v>
      </c>
      <c r="L86" s="8">
        <f t="shared" si="50"/>
        <v>207680</v>
      </c>
      <c r="M86" s="8">
        <f t="shared" si="50"/>
        <v>495600</v>
      </c>
      <c r="N86" s="8">
        <f t="shared" si="50"/>
        <v>0</v>
      </c>
      <c r="O86" s="8">
        <f t="shared" si="50"/>
        <v>118000</v>
      </c>
      <c r="P86" s="8">
        <f t="shared" si="50"/>
        <v>4720</v>
      </c>
      <c r="Q86" s="8">
        <f t="shared" si="50"/>
        <v>0</v>
      </c>
      <c r="R86" s="8">
        <f t="shared" si="50"/>
        <v>9440</v>
      </c>
      <c r="S86" s="8">
        <f t="shared" si="50"/>
        <v>165200</v>
      </c>
      <c r="T86" s="8">
        <f t="shared" si="50"/>
        <v>23600</v>
      </c>
      <c r="U86" s="8">
        <f t="shared" si="50"/>
        <v>146320</v>
      </c>
      <c r="V86" s="8">
        <f t="shared" si="50"/>
        <v>283200</v>
      </c>
      <c r="W86" s="8">
        <f t="shared" si="50"/>
        <v>37760</v>
      </c>
      <c r="X86" s="8">
        <f t="shared" si="50"/>
        <v>4720</v>
      </c>
      <c r="Y86" s="8">
        <f t="shared" si="22"/>
        <v>2463840</v>
      </c>
      <c r="Z86" s="9"/>
    </row>
    <row r="87" spans="1:26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18000</v>
      </c>
      <c r="F87" s="8">
        <f>F104*400</f>
        <v>12000</v>
      </c>
      <c r="G87" s="8">
        <f t="shared" ref="G87:X87" si="51">G104*400</f>
        <v>44000</v>
      </c>
      <c r="H87" s="8">
        <f t="shared" si="51"/>
        <v>7600</v>
      </c>
      <c r="I87" s="8">
        <f t="shared" si="51"/>
        <v>0</v>
      </c>
      <c r="J87" s="8">
        <f t="shared" si="51"/>
        <v>0</v>
      </c>
      <c r="K87" s="8">
        <f t="shared" si="51"/>
        <v>400</v>
      </c>
      <c r="L87" s="8">
        <f t="shared" si="51"/>
        <v>17600</v>
      </c>
      <c r="M87" s="8">
        <f t="shared" si="51"/>
        <v>42000</v>
      </c>
      <c r="N87" s="8">
        <f t="shared" si="51"/>
        <v>0</v>
      </c>
      <c r="O87" s="8">
        <f t="shared" si="51"/>
        <v>10000</v>
      </c>
      <c r="P87" s="8">
        <f t="shared" si="51"/>
        <v>400</v>
      </c>
      <c r="Q87" s="8">
        <f t="shared" si="51"/>
        <v>0</v>
      </c>
      <c r="R87" s="8">
        <f t="shared" si="51"/>
        <v>800</v>
      </c>
      <c r="S87" s="8">
        <f t="shared" si="51"/>
        <v>14000</v>
      </c>
      <c r="T87" s="8">
        <f t="shared" si="51"/>
        <v>2000</v>
      </c>
      <c r="U87" s="8">
        <f t="shared" si="51"/>
        <v>12400</v>
      </c>
      <c r="V87" s="8">
        <f t="shared" si="51"/>
        <v>24000</v>
      </c>
      <c r="W87" s="8">
        <f t="shared" si="51"/>
        <v>3200</v>
      </c>
      <c r="X87" s="8">
        <f t="shared" si="51"/>
        <v>400</v>
      </c>
      <c r="Y87" s="8">
        <f t="shared" si="22"/>
        <v>208800</v>
      </c>
      <c r="Z87" s="9"/>
    </row>
    <row r="88" spans="1:26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194400</v>
      </c>
      <c r="F88" s="8">
        <f>F104*4320</f>
        <v>129600</v>
      </c>
      <c r="G88" s="8">
        <f t="shared" ref="G88:X88" si="52">G104*4320</f>
        <v>475200</v>
      </c>
      <c r="H88" s="8">
        <f t="shared" si="52"/>
        <v>82080</v>
      </c>
      <c r="I88" s="8">
        <f t="shared" si="52"/>
        <v>0</v>
      </c>
      <c r="J88" s="8">
        <f t="shared" si="52"/>
        <v>0</v>
      </c>
      <c r="K88" s="8">
        <f t="shared" si="52"/>
        <v>4320</v>
      </c>
      <c r="L88" s="8">
        <f t="shared" si="52"/>
        <v>190080</v>
      </c>
      <c r="M88" s="8">
        <f t="shared" si="52"/>
        <v>453600</v>
      </c>
      <c r="N88" s="8">
        <f t="shared" si="52"/>
        <v>0</v>
      </c>
      <c r="O88" s="8">
        <f t="shared" si="52"/>
        <v>108000</v>
      </c>
      <c r="P88" s="8">
        <f t="shared" si="52"/>
        <v>4320</v>
      </c>
      <c r="Q88" s="8">
        <f t="shared" si="52"/>
        <v>0</v>
      </c>
      <c r="R88" s="8">
        <f t="shared" si="52"/>
        <v>8640</v>
      </c>
      <c r="S88" s="8">
        <f t="shared" si="52"/>
        <v>151200</v>
      </c>
      <c r="T88" s="8">
        <f t="shared" si="52"/>
        <v>21600</v>
      </c>
      <c r="U88" s="8">
        <f t="shared" si="52"/>
        <v>133920</v>
      </c>
      <c r="V88" s="8">
        <f t="shared" si="52"/>
        <v>259200</v>
      </c>
      <c r="W88" s="8">
        <f t="shared" si="52"/>
        <v>34560</v>
      </c>
      <c r="X88" s="8">
        <f t="shared" si="52"/>
        <v>4320</v>
      </c>
      <c r="Y88" s="8">
        <f t="shared" si="22"/>
        <v>2255040</v>
      </c>
      <c r="Z88" s="9"/>
    </row>
    <row r="89" spans="1:26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23"/>
      <c r="R89" s="23"/>
      <c r="S89" s="23"/>
      <c r="T89" s="23"/>
      <c r="U89" s="23"/>
      <c r="V89" s="23"/>
      <c r="W89" s="23"/>
      <c r="X89" s="23"/>
      <c r="Y89" s="8">
        <f t="shared" si="22"/>
        <v>0</v>
      </c>
      <c r="Z89" s="15"/>
    </row>
    <row r="90" spans="1:26">
      <c r="A90" s="5" t="s">
        <v>226</v>
      </c>
      <c r="B90" s="6" t="s">
        <v>235</v>
      </c>
      <c r="C90" s="6"/>
      <c r="D90" s="7" t="s">
        <v>28</v>
      </c>
      <c r="E90" s="8">
        <f>E91</f>
        <v>0</v>
      </c>
      <c r="F90" s="8">
        <f>F91</f>
        <v>32000</v>
      </c>
      <c r="G90" s="8">
        <f t="shared" ref="G90:X90" si="53">G91</f>
        <v>10000</v>
      </c>
      <c r="H90" s="8">
        <f t="shared" si="53"/>
        <v>0</v>
      </c>
      <c r="I90" s="8">
        <f t="shared" si="53"/>
        <v>32000</v>
      </c>
      <c r="J90" s="8">
        <f t="shared" si="53"/>
        <v>32000</v>
      </c>
      <c r="K90" s="8">
        <f t="shared" si="53"/>
        <v>32000</v>
      </c>
      <c r="L90" s="8">
        <f t="shared" si="53"/>
        <v>20000</v>
      </c>
      <c r="M90" s="8">
        <f t="shared" si="53"/>
        <v>20000</v>
      </c>
      <c r="N90" s="8">
        <f t="shared" si="53"/>
        <v>0</v>
      </c>
      <c r="O90" s="8">
        <f t="shared" si="53"/>
        <v>32000</v>
      </c>
      <c r="P90" s="8">
        <f t="shared" si="53"/>
        <v>0</v>
      </c>
      <c r="Q90" s="8">
        <f t="shared" si="53"/>
        <v>32000</v>
      </c>
      <c r="R90" s="8">
        <f t="shared" si="53"/>
        <v>0</v>
      </c>
      <c r="S90" s="8">
        <f t="shared" si="53"/>
        <v>32000</v>
      </c>
      <c r="T90" s="8">
        <f t="shared" si="53"/>
        <v>32000</v>
      </c>
      <c r="U90" s="8">
        <f t="shared" si="53"/>
        <v>0</v>
      </c>
      <c r="V90" s="8">
        <f t="shared" si="53"/>
        <v>0</v>
      </c>
      <c r="W90" s="8">
        <f t="shared" si="53"/>
        <v>32000</v>
      </c>
      <c r="X90" s="8">
        <f t="shared" si="53"/>
        <v>32000</v>
      </c>
      <c r="Y90" s="8">
        <f t="shared" ref="Y90:Y106" si="54">SUM(E90:X90)</f>
        <v>370000</v>
      </c>
      <c r="Z90" s="9"/>
    </row>
    <row r="91" spans="1:26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/>
      <c r="F91" s="26">
        <v>32000</v>
      </c>
      <c r="G91" s="26">
        <v>10000</v>
      </c>
      <c r="H91" s="26"/>
      <c r="I91" s="26">
        <v>32000</v>
      </c>
      <c r="J91" s="26">
        <v>32000</v>
      </c>
      <c r="K91" s="26">
        <v>32000</v>
      </c>
      <c r="L91" s="26">
        <v>20000</v>
      </c>
      <c r="M91" s="26">
        <v>20000</v>
      </c>
      <c r="N91" s="26"/>
      <c r="O91" s="26">
        <v>32000</v>
      </c>
      <c r="P91" s="26"/>
      <c r="Q91" s="26">
        <v>32000</v>
      </c>
      <c r="R91" s="26"/>
      <c r="S91" s="26">
        <v>32000</v>
      </c>
      <c r="T91" s="26">
        <v>32000</v>
      </c>
      <c r="U91" s="26"/>
      <c r="V91" s="26"/>
      <c r="W91" s="26">
        <v>32000</v>
      </c>
      <c r="X91" s="26">
        <v>32000</v>
      </c>
      <c r="Y91" s="8">
        <f t="shared" si="54"/>
        <v>370000</v>
      </c>
      <c r="Z91" s="27"/>
    </row>
    <row r="92" spans="1:26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30"/>
      <c r="R92" s="30"/>
      <c r="S92" s="30"/>
      <c r="T92" s="30"/>
      <c r="U92" s="30"/>
      <c r="V92" s="30"/>
      <c r="W92" s="30"/>
      <c r="X92" s="30"/>
      <c r="Y92" s="8">
        <f t="shared" si="54"/>
        <v>0</v>
      </c>
      <c r="Z92" s="31"/>
    </row>
    <row r="93" spans="1:26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96</v>
      </c>
      <c r="F93" s="8">
        <f>F94+F95+F96+F97</f>
        <v>138</v>
      </c>
      <c r="G93" s="8">
        <f t="shared" ref="G93:X93" si="55">G94+G95+G96+G97</f>
        <v>279</v>
      </c>
      <c r="H93" s="8">
        <f t="shared" si="55"/>
        <v>60</v>
      </c>
      <c r="I93" s="8">
        <f t="shared" si="55"/>
        <v>16</v>
      </c>
      <c r="J93" s="8">
        <f t="shared" si="55"/>
        <v>21</v>
      </c>
      <c r="K93" s="8">
        <f t="shared" si="55"/>
        <v>79</v>
      </c>
      <c r="L93" s="8">
        <f t="shared" si="55"/>
        <v>98</v>
      </c>
      <c r="M93" s="8">
        <f t="shared" si="55"/>
        <v>343</v>
      </c>
      <c r="N93" s="8">
        <f t="shared" si="55"/>
        <v>29</v>
      </c>
      <c r="O93" s="8">
        <f t="shared" si="55"/>
        <v>43</v>
      </c>
      <c r="P93" s="8">
        <f t="shared" si="55"/>
        <v>99</v>
      </c>
      <c r="Q93" s="8">
        <f t="shared" si="55"/>
        <v>6</v>
      </c>
      <c r="R93" s="8">
        <f t="shared" si="55"/>
        <v>124</v>
      </c>
      <c r="S93" s="8">
        <f t="shared" si="55"/>
        <v>45</v>
      </c>
      <c r="T93" s="8">
        <f t="shared" si="55"/>
        <v>44</v>
      </c>
      <c r="U93" s="8">
        <f t="shared" si="55"/>
        <v>62</v>
      </c>
      <c r="V93" s="8">
        <f t="shared" si="55"/>
        <v>78</v>
      </c>
      <c r="W93" s="8">
        <f t="shared" si="55"/>
        <v>7</v>
      </c>
      <c r="X93" s="8">
        <f t="shared" si="55"/>
        <v>48</v>
      </c>
      <c r="Y93" s="8">
        <f t="shared" si="54"/>
        <v>1715</v>
      </c>
      <c r="Z93" s="9"/>
    </row>
    <row r="94" spans="1:26">
      <c r="A94" s="5" t="s">
        <v>236</v>
      </c>
      <c r="B94" s="32" t="s">
        <v>245</v>
      </c>
      <c r="C94" s="32"/>
      <c r="D94" s="15"/>
      <c r="E94" s="16">
        <v>96</v>
      </c>
      <c r="F94" s="16"/>
      <c r="G94" s="16">
        <v>279</v>
      </c>
      <c r="H94" s="16"/>
      <c r="I94" s="16"/>
      <c r="J94" s="16"/>
      <c r="K94" s="16"/>
      <c r="L94" s="16"/>
      <c r="M94" s="16"/>
      <c r="N94" s="16"/>
      <c r="O94" s="16"/>
      <c r="P94" s="16">
        <v>99</v>
      </c>
      <c r="Q94" s="16"/>
      <c r="R94" s="16"/>
      <c r="S94" s="16"/>
      <c r="T94" s="16">
        <v>37</v>
      </c>
      <c r="U94" s="16"/>
      <c r="V94" s="16">
        <v>78</v>
      </c>
      <c r="W94" s="16"/>
      <c r="X94" s="16"/>
      <c r="Y94" s="8">
        <f t="shared" si="54"/>
        <v>589</v>
      </c>
      <c r="Z94" s="9"/>
    </row>
    <row r="95" spans="1:26">
      <c r="A95" s="5" t="s">
        <v>239</v>
      </c>
      <c r="B95" s="32" t="s">
        <v>247</v>
      </c>
      <c r="C95" s="32"/>
      <c r="D95" s="7"/>
      <c r="E95" s="10"/>
      <c r="F95" s="10">
        <v>138</v>
      </c>
      <c r="G95" s="10"/>
      <c r="H95" s="10">
        <v>60</v>
      </c>
      <c r="I95" s="10"/>
      <c r="J95" s="10"/>
      <c r="K95" s="10"/>
      <c r="L95" s="10"/>
      <c r="M95" s="10">
        <v>343</v>
      </c>
      <c r="N95" s="10"/>
      <c r="O95" s="10"/>
      <c r="P95" s="10"/>
      <c r="Q95" s="10"/>
      <c r="R95" s="10">
        <v>124</v>
      </c>
      <c r="S95" s="10"/>
      <c r="T95" s="10">
        <v>7</v>
      </c>
      <c r="U95" s="10">
        <v>62</v>
      </c>
      <c r="V95" s="10"/>
      <c r="W95" s="10"/>
      <c r="X95" s="10"/>
      <c r="Y95" s="8">
        <f t="shared" si="54"/>
        <v>734</v>
      </c>
      <c r="Z95" s="9"/>
    </row>
    <row r="96" spans="1:26">
      <c r="A96" s="5" t="s">
        <v>241</v>
      </c>
      <c r="B96" s="32" t="s">
        <v>249</v>
      </c>
      <c r="C96" s="32"/>
      <c r="D96" s="15"/>
      <c r="E96" s="16"/>
      <c r="F96" s="16"/>
      <c r="G96" s="16"/>
      <c r="H96" s="16"/>
      <c r="I96" s="16">
        <v>16</v>
      </c>
      <c r="J96" s="16">
        <v>21</v>
      </c>
      <c r="K96" s="16">
        <v>79</v>
      </c>
      <c r="L96" s="16">
        <v>98</v>
      </c>
      <c r="M96" s="16"/>
      <c r="N96" s="16">
        <v>29</v>
      </c>
      <c r="O96" s="16">
        <v>43</v>
      </c>
      <c r="P96" s="16"/>
      <c r="Q96" s="16">
        <v>6</v>
      </c>
      <c r="R96" s="16"/>
      <c r="S96" s="16">
        <v>45</v>
      </c>
      <c r="T96" s="16"/>
      <c r="U96" s="16"/>
      <c r="V96" s="16"/>
      <c r="W96" s="16"/>
      <c r="X96" s="16">
        <v>48</v>
      </c>
      <c r="Y96" s="8">
        <f t="shared" si="54"/>
        <v>385</v>
      </c>
      <c r="Z96" s="9"/>
    </row>
    <row r="97" spans="1:26">
      <c r="A97" s="5" t="s">
        <v>244</v>
      </c>
      <c r="B97" s="32" t="s">
        <v>251</v>
      </c>
      <c r="C97" s="32"/>
      <c r="D97" s="15"/>
      <c r="E97" s="16"/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16"/>
      <c r="R97" s="16"/>
      <c r="S97" s="16"/>
      <c r="T97" s="16"/>
      <c r="U97" s="16"/>
      <c r="V97" s="16"/>
      <c r="W97" s="16">
        <v>7</v>
      </c>
      <c r="X97" s="16"/>
      <c r="Y97" s="8">
        <f t="shared" si="54"/>
        <v>7</v>
      </c>
      <c r="Z97" s="9"/>
    </row>
    <row r="98" spans="1:26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1119</v>
      </c>
      <c r="F98" s="8">
        <f>F99+F100+F101+F102</f>
        <v>2307</v>
      </c>
      <c r="G98" s="8">
        <f t="shared" ref="G98:X98" si="56">G99+G100+G101+G102</f>
        <v>3235</v>
      </c>
      <c r="H98" s="8">
        <f t="shared" si="56"/>
        <v>740</v>
      </c>
      <c r="I98" s="8">
        <f t="shared" si="56"/>
        <v>139</v>
      </c>
      <c r="J98" s="8">
        <f t="shared" si="56"/>
        <v>283</v>
      </c>
      <c r="K98" s="8">
        <f t="shared" si="56"/>
        <v>788</v>
      </c>
      <c r="L98" s="8">
        <f t="shared" si="56"/>
        <v>1189</v>
      </c>
      <c r="M98" s="8">
        <f t="shared" si="56"/>
        <v>5492</v>
      </c>
      <c r="N98" s="8">
        <f t="shared" si="56"/>
        <v>391</v>
      </c>
      <c r="O98" s="8">
        <f t="shared" si="56"/>
        <v>466</v>
      </c>
      <c r="P98" s="8">
        <f t="shared" si="56"/>
        <v>1419</v>
      </c>
      <c r="Q98" s="8">
        <f t="shared" si="56"/>
        <v>43</v>
      </c>
      <c r="R98" s="8">
        <f t="shared" si="56"/>
        <v>2038</v>
      </c>
      <c r="S98" s="8">
        <f t="shared" si="56"/>
        <v>457</v>
      </c>
      <c r="T98" s="8">
        <f t="shared" si="56"/>
        <v>728</v>
      </c>
      <c r="U98" s="8">
        <f t="shared" si="56"/>
        <v>809</v>
      </c>
      <c r="V98" s="8">
        <f t="shared" si="56"/>
        <v>889</v>
      </c>
      <c r="W98" s="8">
        <f t="shared" si="56"/>
        <v>0</v>
      </c>
      <c r="X98" s="8">
        <f t="shared" si="56"/>
        <v>588</v>
      </c>
      <c r="Y98" s="8">
        <f t="shared" si="54"/>
        <v>23120</v>
      </c>
      <c r="Z98" s="9"/>
    </row>
    <row r="99" spans="1:26">
      <c r="A99" s="5" t="s">
        <v>248</v>
      </c>
      <c r="B99" s="32" t="s">
        <v>245</v>
      </c>
      <c r="C99" s="32"/>
      <c r="D99" s="15"/>
      <c r="E99" s="16">
        <v>1119</v>
      </c>
      <c r="F99" s="16"/>
      <c r="G99" s="16">
        <v>3235</v>
      </c>
      <c r="H99" s="16"/>
      <c r="I99" s="16"/>
      <c r="J99" s="16"/>
      <c r="K99" s="16"/>
      <c r="L99" s="16"/>
      <c r="M99" s="16"/>
      <c r="N99" s="16"/>
      <c r="O99" s="16"/>
      <c r="P99" s="16">
        <v>1419</v>
      </c>
      <c r="Q99" s="16"/>
      <c r="R99" s="16"/>
      <c r="S99" s="16"/>
      <c r="T99" s="16">
        <v>521</v>
      </c>
      <c r="U99" s="16"/>
      <c r="V99" s="16">
        <v>889</v>
      </c>
      <c r="W99" s="16"/>
      <c r="X99" s="16"/>
      <c r="Y99" s="8">
        <f t="shared" si="54"/>
        <v>7183</v>
      </c>
      <c r="Z99" s="9"/>
    </row>
    <row r="100" spans="1:26">
      <c r="A100" s="5" t="s">
        <v>250</v>
      </c>
      <c r="B100" s="32" t="s">
        <v>247</v>
      </c>
      <c r="C100" s="32"/>
      <c r="D100" s="7"/>
      <c r="E100" s="10"/>
      <c r="F100" s="10">
        <v>2307</v>
      </c>
      <c r="G100" s="10"/>
      <c r="H100" s="10">
        <v>740</v>
      </c>
      <c r="I100" s="10"/>
      <c r="J100" s="10"/>
      <c r="K100" s="10"/>
      <c r="L100" s="10"/>
      <c r="M100" s="10">
        <v>5492</v>
      </c>
      <c r="N100" s="10"/>
      <c r="O100" s="10"/>
      <c r="P100" s="10"/>
      <c r="Q100" s="10"/>
      <c r="R100" s="10">
        <v>2038</v>
      </c>
      <c r="S100" s="10"/>
      <c r="T100" s="10">
        <v>207</v>
      </c>
      <c r="U100" s="10">
        <v>809</v>
      </c>
      <c r="V100" s="10"/>
      <c r="W100" s="10"/>
      <c r="X100" s="10"/>
      <c r="Y100" s="8">
        <f t="shared" si="54"/>
        <v>11593</v>
      </c>
      <c r="Z100" s="9"/>
    </row>
    <row r="101" spans="1:26">
      <c r="A101" s="5" t="s">
        <v>252</v>
      </c>
      <c r="B101" s="32" t="s">
        <v>249</v>
      </c>
      <c r="C101" s="32"/>
      <c r="D101" s="15"/>
      <c r="E101" s="16"/>
      <c r="F101" s="16"/>
      <c r="G101" s="16"/>
      <c r="H101" s="16"/>
      <c r="I101" s="16">
        <v>139</v>
      </c>
      <c r="J101" s="16">
        <v>283</v>
      </c>
      <c r="K101" s="16">
        <v>788</v>
      </c>
      <c r="L101" s="16">
        <v>1189</v>
      </c>
      <c r="M101" s="16"/>
      <c r="N101" s="16">
        <v>391</v>
      </c>
      <c r="O101" s="16">
        <v>466</v>
      </c>
      <c r="P101" s="16"/>
      <c r="Q101" s="16">
        <v>43</v>
      </c>
      <c r="R101" s="16"/>
      <c r="S101" s="16">
        <v>457</v>
      </c>
      <c r="T101" s="16"/>
      <c r="U101" s="16"/>
      <c r="V101" s="16"/>
      <c r="W101" s="16"/>
      <c r="X101" s="16">
        <v>588</v>
      </c>
      <c r="Y101" s="8">
        <f t="shared" si="54"/>
        <v>4344</v>
      </c>
      <c r="Z101" s="9"/>
    </row>
    <row r="102" spans="1:26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16"/>
      <c r="X102" s="16"/>
      <c r="Y102" s="8">
        <f t="shared" si="54"/>
        <v>0</v>
      </c>
      <c r="Z102" s="9"/>
    </row>
    <row r="103" spans="1:26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33"/>
      <c r="R103" s="33"/>
      <c r="S103" s="33"/>
      <c r="T103" s="33"/>
      <c r="U103" s="33"/>
      <c r="V103" s="33"/>
      <c r="W103" s="33"/>
      <c r="X103" s="33"/>
      <c r="Y103" s="8">
        <f t="shared" si="54"/>
        <v>0</v>
      </c>
      <c r="Z103" s="9"/>
    </row>
    <row r="104" spans="1:26">
      <c r="A104" s="5" t="s">
        <v>257</v>
      </c>
      <c r="B104" s="6" t="s">
        <v>261</v>
      </c>
      <c r="C104" s="6"/>
      <c r="D104" s="7"/>
      <c r="E104" s="10">
        <v>45</v>
      </c>
      <c r="F104" s="10">
        <v>30</v>
      </c>
      <c r="G104" s="10">
        <v>110</v>
      </c>
      <c r="H104" s="10">
        <v>19</v>
      </c>
      <c r="I104" s="10"/>
      <c r="J104" s="10"/>
      <c r="K104" s="10">
        <v>1</v>
      </c>
      <c r="L104" s="10">
        <v>44</v>
      </c>
      <c r="M104" s="10">
        <v>105</v>
      </c>
      <c r="N104" s="10"/>
      <c r="O104" s="10">
        <v>25</v>
      </c>
      <c r="P104" s="10">
        <v>1</v>
      </c>
      <c r="Q104" s="10"/>
      <c r="R104" s="10">
        <v>2</v>
      </c>
      <c r="S104" s="10">
        <v>35</v>
      </c>
      <c r="T104" s="10">
        <v>5</v>
      </c>
      <c r="U104" s="10">
        <v>31</v>
      </c>
      <c r="V104" s="10">
        <v>60</v>
      </c>
      <c r="W104" s="10">
        <v>8</v>
      </c>
      <c r="X104" s="10">
        <v>1</v>
      </c>
      <c r="Y104" s="8">
        <f t="shared" si="54"/>
        <v>522</v>
      </c>
      <c r="Z104" s="9"/>
    </row>
    <row r="105" spans="1:26">
      <c r="A105" s="5" t="s">
        <v>258</v>
      </c>
      <c r="B105" s="32" t="s">
        <v>262</v>
      </c>
      <c r="C105" s="32"/>
      <c r="D105" s="20"/>
      <c r="E105" s="10">
        <v>13160</v>
      </c>
      <c r="F105" s="10">
        <v>14868.14</v>
      </c>
      <c r="G105" s="10">
        <v>34506.629999999997</v>
      </c>
      <c r="H105" s="10">
        <v>4776.2700000000004</v>
      </c>
      <c r="I105" s="10">
        <v>6995</v>
      </c>
      <c r="J105" s="10">
        <v>6500</v>
      </c>
      <c r="K105" s="10">
        <v>13200</v>
      </c>
      <c r="L105" s="10">
        <v>9829.07</v>
      </c>
      <c r="M105" s="10">
        <v>34846.959999999999</v>
      </c>
      <c r="N105" s="10">
        <v>3731.92</v>
      </c>
      <c r="O105" s="10">
        <v>4612</v>
      </c>
      <c r="P105" s="10">
        <v>11355.73</v>
      </c>
      <c r="Q105" s="10">
        <v>2408</v>
      </c>
      <c r="R105" s="10">
        <v>14337.21</v>
      </c>
      <c r="S105" s="10">
        <v>4286</v>
      </c>
      <c r="T105" s="10">
        <v>32300</v>
      </c>
      <c r="U105" s="10">
        <v>4631.83</v>
      </c>
      <c r="V105" s="10">
        <v>8372.6200000000008</v>
      </c>
      <c r="W105" s="10">
        <v>2800</v>
      </c>
      <c r="X105" s="10">
        <v>13478</v>
      </c>
      <c r="Y105" s="8">
        <f t="shared" si="54"/>
        <v>240995.37999999998</v>
      </c>
      <c r="Z105" s="9"/>
    </row>
    <row r="106" spans="1:26">
      <c r="A106" s="5" t="s">
        <v>259</v>
      </c>
      <c r="B106" s="32" t="s">
        <v>263</v>
      </c>
      <c r="C106" s="32"/>
      <c r="D106" s="20"/>
      <c r="E106" s="10">
        <v>8691</v>
      </c>
      <c r="F106" s="10">
        <v>6620</v>
      </c>
      <c r="G106" s="10">
        <v>17447</v>
      </c>
      <c r="H106" s="10">
        <v>3585</v>
      </c>
      <c r="I106" s="10">
        <v>2841</v>
      </c>
      <c r="J106" s="10">
        <v>2312.1</v>
      </c>
      <c r="K106" s="10">
        <v>4100</v>
      </c>
      <c r="L106" s="10">
        <v>5330</v>
      </c>
      <c r="M106" s="10">
        <v>12339</v>
      </c>
      <c r="N106" s="10">
        <v>1786</v>
      </c>
      <c r="O106" s="10">
        <v>1717</v>
      </c>
      <c r="P106" s="10">
        <v>4073</v>
      </c>
      <c r="Q106" s="10">
        <v>2312.4499999999998</v>
      </c>
      <c r="R106" s="10">
        <v>7880</v>
      </c>
      <c r="S106" s="10">
        <v>2350</v>
      </c>
      <c r="T106" s="121">
        <v>13107.45</v>
      </c>
      <c r="U106" s="10">
        <v>3226</v>
      </c>
      <c r="V106" s="10">
        <v>6496</v>
      </c>
      <c r="W106" s="10"/>
      <c r="X106" s="10">
        <v>6044.7</v>
      </c>
      <c r="Y106" s="8">
        <f t="shared" si="54"/>
        <v>112257.7</v>
      </c>
      <c r="Z106" s="9"/>
    </row>
    <row r="107" spans="1:26">
      <c r="E107" s="1">
        <f t="shared" ref="E107:Y107" si="57">E4/E93</f>
        <v>350264.77604166669</v>
      </c>
      <c r="F107" s="1">
        <f t="shared" si="57"/>
        <v>344294.07536231884</v>
      </c>
      <c r="G107" s="1">
        <f t="shared" si="57"/>
        <v>348657.96182795701</v>
      </c>
      <c r="H107" s="1">
        <f t="shared" si="57"/>
        <v>352060.4991666667</v>
      </c>
      <c r="I107" s="1">
        <f t="shared" si="57"/>
        <v>311781.4375</v>
      </c>
      <c r="J107" s="1">
        <f t="shared" si="57"/>
        <v>308382.34285714285</v>
      </c>
      <c r="K107" s="1">
        <f t="shared" si="57"/>
        <v>324931.22784810129</v>
      </c>
      <c r="L107" s="1">
        <f t="shared" si="57"/>
        <v>319630.94846938777</v>
      </c>
      <c r="M107" s="1">
        <f t="shared" si="57"/>
        <v>349397.08046647231</v>
      </c>
      <c r="N107" s="1">
        <f t="shared" si="57"/>
        <v>321211.90344827581</v>
      </c>
      <c r="O107" s="1">
        <f t="shared" si="57"/>
        <v>319353.83720930235</v>
      </c>
      <c r="P107" s="1">
        <f t="shared" si="57"/>
        <v>353248.84898989898</v>
      </c>
      <c r="Q107" s="1">
        <f t="shared" si="57"/>
        <v>314074.06666666671</v>
      </c>
      <c r="R107" s="1">
        <f t="shared" si="57"/>
        <v>344789.17620967742</v>
      </c>
      <c r="S107" s="1">
        <f t="shared" si="57"/>
        <v>327243.88888888888</v>
      </c>
      <c r="T107" s="1">
        <f t="shared" si="57"/>
        <v>346687.29545454547</v>
      </c>
      <c r="U107" s="1">
        <f t="shared" si="57"/>
        <v>352597.44435483863</v>
      </c>
      <c r="V107" s="1">
        <f t="shared" si="57"/>
        <v>361976.66282051284</v>
      </c>
      <c r="W107" s="1">
        <f t="shared" si="57"/>
        <v>358999.57142857142</v>
      </c>
      <c r="X107" s="1">
        <f t="shared" si="57"/>
        <v>309158.92499999999</v>
      </c>
      <c r="Y107" s="1">
        <f t="shared" si="57"/>
        <v>342812.64962099126</v>
      </c>
    </row>
  </sheetData>
  <protectedRanges>
    <protectedRange password="E9C1" sqref="D28 Y21:Z26 Z20 Y4:Z9 Z10 A2:Z3 Z27 A4:D5 Y11:Z19 B6:D26 Y28:Z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Z1"/>
  </mergeCells>
  <phoneticPr fontId="3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7"/>
  <sheetViews>
    <sheetView workbookViewId="0">
      <pane xSplit="4" ySplit="2" topLeftCell="L3" activePane="bottomRight" state="frozen"/>
      <selection pane="topRight" activeCell="E1" sqref="E1"/>
      <selection pane="bottomLeft" activeCell="A3" sqref="A3"/>
      <selection pane="bottomRight" sqref="A1:Y1"/>
    </sheetView>
  </sheetViews>
  <sheetFormatPr defaultColWidth="15.625" defaultRowHeight="11.25"/>
  <cols>
    <col min="1" max="1" width="4.625" style="115" customWidth="1"/>
    <col min="2" max="2" width="13.125" style="86" customWidth="1"/>
    <col min="3" max="3" width="8" style="86" customWidth="1"/>
    <col min="4" max="4" width="10.625" style="116" customWidth="1"/>
    <col min="5" max="25" width="12.625" style="86" customWidth="1"/>
    <col min="26" max="256" width="15.625" style="86"/>
    <col min="257" max="257" width="4.625" style="86" customWidth="1"/>
    <col min="258" max="258" width="23.625" style="86" customWidth="1"/>
    <col min="259" max="259" width="11.375" style="86" customWidth="1"/>
    <col min="260" max="260" width="10.625" style="86" customWidth="1"/>
    <col min="261" max="261" width="15.625" style="86"/>
    <col min="262" max="264" width="10.75" style="86" bestFit="1" customWidth="1"/>
    <col min="265" max="265" width="10.125" style="86" bestFit="1" customWidth="1"/>
    <col min="266" max="266" width="10.75" style="86" bestFit="1" customWidth="1"/>
    <col min="267" max="267" width="11" style="86" bestFit="1" customWidth="1"/>
    <col min="268" max="268" width="10.75" style="86" bestFit="1" customWidth="1"/>
    <col min="269" max="269" width="15.625" style="86"/>
    <col min="270" max="270" width="11.5" style="86" bestFit="1" customWidth="1"/>
    <col min="271" max="273" width="10.75" style="86" bestFit="1" customWidth="1"/>
    <col min="274" max="276" width="15.625" style="86"/>
    <col min="277" max="277" width="14.625" style="86" bestFit="1" customWidth="1"/>
    <col min="278" max="278" width="15.625" style="86"/>
    <col min="279" max="279" width="13.375" style="86" bestFit="1" customWidth="1"/>
    <col min="280" max="280" width="10.75" style="86" bestFit="1" customWidth="1"/>
    <col min="281" max="512" width="15.625" style="86"/>
    <col min="513" max="513" width="4.625" style="86" customWidth="1"/>
    <col min="514" max="514" width="23.625" style="86" customWidth="1"/>
    <col min="515" max="515" width="11.375" style="86" customWidth="1"/>
    <col min="516" max="516" width="10.625" style="86" customWidth="1"/>
    <col min="517" max="517" width="15.625" style="86"/>
    <col min="518" max="520" width="10.75" style="86" bestFit="1" customWidth="1"/>
    <col min="521" max="521" width="10.125" style="86" bestFit="1" customWidth="1"/>
    <col min="522" max="522" width="10.75" style="86" bestFit="1" customWidth="1"/>
    <col min="523" max="523" width="11" style="86" bestFit="1" customWidth="1"/>
    <col min="524" max="524" width="10.75" style="86" bestFit="1" customWidth="1"/>
    <col min="525" max="525" width="15.625" style="86"/>
    <col min="526" max="526" width="11.5" style="86" bestFit="1" customWidth="1"/>
    <col min="527" max="529" width="10.75" style="86" bestFit="1" customWidth="1"/>
    <col min="530" max="532" width="15.625" style="86"/>
    <col min="533" max="533" width="14.625" style="86" bestFit="1" customWidth="1"/>
    <col min="534" max="534" width="15.625" style="86"/>
    <col min="535" max="535" width="13.375" style="86" bestFit="1" customWidth="1"/>
    <col min="536" max="536" width="10.75" style="86" bestFit="1" customWidth="1"/>
    <col min="537" max="768" width="15.625" style="86"/>
    <col min="769" max="769" width="4.625" style="86" customWidth="1"/>
    <col min="770" max="770" width="23.625" style="86" customWidth="1"/>
    <col min="771" max="771" width="11.375" style="86" customWidth="1"/>
    <col min="772" max="772" width="10.625" style="86" customWidth="1"/>
    <col min="773" max="773" width="15.625" style="86"/>
    <col min="774" max="776" width="10.75" style="86" bestFit="1" customWidth="1"/>
    <col min="777" max="777" width="10.125" style="86" bestFit="1" customWidth="1"/>
    <col min="778" max="778" width="10.75" style="86" bestFit="1" customWidth="1"/>
    <col min="779" max="779" width="11" style="86" bestFit="1" customWidth="1"/>
    <col min="780" max="780" width="10.75" style="86" bestFit="1" customWidth="1"/>
    <col min="781" max="781" width="15.625" style="86"/>
    <col min="782" max="782" width="11.5" style="86" bestFit="1" customWidth="1"/>
    <col min="783" max="785" width="10.75" style="86" bestFit="1" customWidth="1"/>
    <col min="786" max="788" width="15.625" style="86"/>
    <col min="789" max="789" width="14.625" style="86" bestFit="1" customWidth="1"/>
    <col min="790" max="790" width="15.625" style="86"/>
    <col min="791" max="791" width="13.375" style="86" bestFit="1" customWidth="1"/>
    <col min="792" max="792" width="10.75" style="86" bestFit="1" customWidth="1"/>
    <col min="793" max="1024" width="15.625" style="86"/>
    <col min="1025" max="1025" width="4.625" style="86" customWidth="1"/>
    <col min="1026" max="1026" width="23.625" style="86" customWidth="1"/>
    <col min="1027" max="1027" width="11.375" style="86" customWidth="1"/>
    <col min="1028" max="1028" width="10.625" style="86" customWidth="1"/>
    <col min="1029" max="1029" width="15.625" style="86"/>
    <col min="1030" max="1032" width="10.75" style="86" bestFit="1" customWidth="1"/>
    <col min="1033" max="1033" width="10.125" style="86" bestFit="1" customWidth="1"/>
    <col min="1034" max="1034" width="10.75" style="86" bestFit="1" customWidth="1"/>
    <col min="1035" max="1035" width="11" style="86" bestFit="1" customWidth="1"/>
    <col min="1036" max="1036" width="10.75" style="86" bestFit="1" customWidth="1"/>
    <col min="1037" max="1037" width="15.625" style="86"/>
    <col min="1038" max="1038" width="11.5" style="86" bestFit="1" customWidth="1"/>
    <col min="1039" max="1041" width="10.75" style="86" bestFit="1" customWidth="1"/>
    <col min="1042" max="1044" width="15.625" style="86"/>
    <col min="1045" max="1045" width="14.625" style="86" bestFit="1" customWidth="1"/>
    <col min="1046" max="1046" width="15.625" style="86"/>
    <col min="1047" max="1047" width="13.375" style="86" bestFit="1" customWidth="1"/>
    <col min="1048" max="1048" width="10.75" style="86" bestFit="1" customWidth="1"/>
    <col min="1049" max="1280" width="15.625" style="86"/>
    <col min="1281" max="1281" width="4.625" style="86" customWidth="1"/>
    <col min="1282" max="1282" width="23.625" style="86" customWidth="1"/>
    <col min="1283" max="1283" width="11.375" style="86" customWidth="1"/>
    <col min="1284" max="1284" width="10.625" style="86" customWidth="1"/>
    <col min="1285" max="1285" width="15.625" style="86"/>
    <col min="1286" max="1288" width="10.75" style="86" bestFit="1" customWidth="1"/>
    <col min="1289" max="1289" width="10.125" style="86" bestFit="1" customWidth="1"/>
    <col min="1290" max="1290" width="10.75" style="86" bestFit="1" customWidth="1"/>
    <col min="1291" max="1291" width="11" style="86" bestFit="1" customWidth="1"/>
    <col min="1292" max="1292" width="10.75" style="86" bestFit="1" customWidth="1"/>
    <col min="1293" max="1293" width="15.625" style="86"/>
    <col min="1294" max="1294" width="11.5" style="86" bestFit="1" customWidth="1"/>
    <col min="1295" max="1297" width="10.75" style="86" bestFit="1" customWidth="1"/>
    <col min="1298" max="1300" width="15.625" style="86"/>
    <col min="1301" max="1301" width="14.625" style="86" bestFit="1" customWidth="1"/>
    <col min="1302" max="1302" width="15.625" style="86"/>
    <col min="1303" max="1303" width="13.375" style="86" bestFit="1" customWidth="1"/>
    <col min="1304" max="1304" width="10.75" style="86" bestFit="1" customWidth="1"/>
    <col min="1305" max="1536" width="15.625" style="86"/>
    <col min="1537" max="1537" width="4.625" style="86" customWidth="1"/>
    <col min="1538" max="1538" width="23.625" style="86" customWidth="1"/>
    <col min="1539" max="1539" width="11.375" style="86" customWidth="1"/>
    <col min="1540" max="1540" width="10.625" style="86" customWidth="1"/>
    <col min="1541" max="1541" width="15.625" style="86"/>
    <col min="1542" max="1544" width="10.75" style="86" bestFit="1" customWidth="1"/>
    <col min="1545" max="1545" width="10.125" style="86" bestFit="1" customWidth="1"/>
    <col min="1546" max="1546" width="10.75" style="86" bestFit="1" customWidth="1"/>
    <col min="1547" max="1547" width="11" style="86" bestFit="1" customWidth="1"/>
    <col min="1548" max="1548" width="10.75" style="86" bestFit="1" customWidth="1"/>
    <col min="1549" max="1549" width="15.625" style="86"/>
    <col min="1550" max="1550" width="11.5" style="86" bestFit="1" customWidth="1"/>
    <col min="1551" max="1553" width="10.75" style="86" bestFit="1" customWidth="1"/>
    <col min="1554" max="1556" width="15.625" style="86"/>
    <col min="1557" max="1557" width="14.625" style="86" bestFit="1" customWidth="1"/>
    <col min="1558" max="1558" width="15.625" style="86"/>
    <col min="1559" max="1559" width="13.375" style="86" bestFit="1" customWidth="1"/>
    <col min="1560" max="1560" width="10.75" style="86" bestFit="1" customWidth="1"/>
    <col min="1561" max="1792" width="15.625" style="86"/>
    <col min="1793" max="1793" width="4.625" style="86" customWidth="1"/>
    <col min="1794" max="1794" width="23.625" style="86" customWidth="1"/>
    <col min="1795" max="1795" width="11.375" style="86" customWidth="1"/>
    <col min="1796" max="1796" width="10.625" style="86" customWidth="1"/>
    <col min="1797" max="1797" width="15.625" style="86"/>
    <col min="1798" max="1800" width="10.75" style="86" bestFit="1" customWidth="1"/>
    <col min="1801" max="1801" width="10.125" style="86" bestFit="1" customWidth="1"/>
    <col min="1802" max="1802" width="10.75" style="86" bestFit="1" customWidth="1"/>
    <col min="1803" max="1803" width="11" style="86" bestFit="1" customWidth="1"/>
    <col min="1804" max="1804" width="10.75" style="86" bestFit="1" customWidth="1"/>
    <col min="1805" max="1805" width="15.625" style="86"/>
    <col min="1806" max="1806" width="11.5" style="86" bestFit="1" customWidth="1"/>
    <col min="1807" max="1809" width="10.75" style="86" bestFit="1" customWidth="1"/>
    <col min="1810" max="1812" width="15.625" style="86"/>
    <col min="1813" max="1813" width="14.625" style="86" bestFit="1" customWidth="1"/>
    <col min="1814" max="1814" width="15.625" style="86"/>
    <col min="1815" max="1815" width="13.375" style="86" bestFit="1" customWidth="1"/>
    <col min="1816" max="1816" width="10.75" style="86" bestFit="1" customWidth="1"/>
    <col min="1817" max="2048" width="15.625" style="86"/>
    <col min="2049" max="2049" width="4.625" style="86" customWidth="1"/>
    <col min="2050" max="2050" width="23.625" style="86" customWidth="1"/>
    <col min="2051" max="2051" width="11.375" style="86" customWidth="1"/>
    <col min="2052" max="2052" width="10.625" style="86" customWidth="1"/>
    <col min="2053" max="2053" width="15.625" style="86"/>
    <col min="2054" max="2056" width="10.75" style="86" bestFit="1" customWidth="1"/>
    <col min="2057" max="2057" width="10.125" style="86" bestFit="1" customWidth="1"/>
    <col min="2058" max="2058" width="10.75" style="86" bestFit="1" customWidth="1"/>
    <col min="2059" max="2059" width="11" style="86" bestFit="1" customWidth="1"/>
    <col min="2060" max="2060" width="10.75" style="86" bestFit="1" customWidth="1"/>
    <col min="2061" max="2061" width="15.625" style="86"/>
    <col min="2062" max="2062" width="11.5" style="86" bestFit="1" customWidth="1"/>
    <col min="2063" max="2065" width="10.75" style="86" bestFit="1" customWidth="1"/>
    <col min="2066" max="2068" width="15.625" style="86"/>
    <col min="2069" max="2069" width="14.625" style="86" bestFit="1" customWidth="1"/>
    <col min="2070" max="2070" width="15.625" style="86"/>
    <col min="2071" max="2071" width="13.375" style="86" bestFit="1" customWidth="1"/>
    <col min="2072" max="2072" width="10.75" style="86" bestFit="1" customWidth="1"/>
    <col min="2073" max="2304" width="15.625" style="86"/>
    <col min="2305" max="2305" width="4.625" style="86" customWidth="1"/>
    <col min="2306" max="2306" width="23.625" style="86" customWidth="1"/>
    <col min="2307" max="2307" width="11.375" style="86" customWidth="1"/>
    <col min="2308" max="2308" width="10.625" style="86" customWidth="1"/>
    <col min="2309" max="2309" width="15.625" style="86"/>
    <col min="2310" max="2312" width="10.75" style="86" bestFit="1" customWidth="1"/>
    <col min="2313" max="2313" width="10.125" style="86" bestFit="1" customWidth="1"/>
    <col min="2314" max="2314" width="10.75" style="86" bestFit="1" customWidth="1"/>
    <col min="2315" max="2315" width="11" style="86" bestFit="1" customWidth="1"/>
    <col min="2316" max="2316" width="10.75" style="86" bestFit="1" customWidth="1"/>
    <col min="2317" max="2317" width="15.625" style="86"/>
    <col min="2318" max="2318" width="11.5" style="86" bestFit="1" customWidth="1"/>
    <col min="2319" max="2321" width="10.75" style="86" bestFit="1" customWidth="1"/>
    <col min="2322" max="2324" width="15.625" style="86"/>
    <col min="2325" max="2325" width="14.625" style="86" bestFit="1" customWidth="1"/>
    <col min="2326" max="2326" width="15.625" style="86"/>
    <col min="2327" max="2327" width="13.375" style="86" bestFit="1" customWidth="1"/>
    <col min="2328" max="2328" width="10.75" style="86" bestFit="1" customWidth="1"/>
    <col min="2329" max="2560" width="15.625" style="86"/>
    <col min="2561" max="2561" width="4.625" style="86" customWidth="1"/>
    <col min="2562" max="2562" width="23.625" style="86" customWidth="1"/>
    <col min="2563" max="2563" width="11.375" style="86" customWidth="1"/>
    <col min="2564" max="2564" width="10.625" style="86" customWidth="1"/>
    <col min="2565" max="2565" width="15.625" style="86"/>
    <col min="2566" max="2568" width="10.75" style="86" bestFit="1" customWidth="1"/>
    <col min="2569" max="2569" width="10.125" style="86" bestFit="1" customWidth="1"/>
    <col min="2570" max="2570" width="10.75" style="86" bestFit="1" customWidth="1"/>
    <col min="2571" max="2571" width="11" style="86" bestFit="1" customWidth="1"/>
    <col min="2572" max="2572" width="10.75" style="86" bestFit="1" customWidth="1"/>
    <col min="2573" max="2573" width="15.625" style="86"/>
    <col min="2574" max="2574" width="11.5" style="86" bestFit="1" customWidth="1"/>
    <col min="2575" max="2577" width="10.75" style="86" bestFit="1" customWidth="1"/>
    <col min="2578" max="2580" width="15.625" style="86"/>
    <col min="2581" max="2581" width="14.625" style="86" bestFit="1" customWidth="1"/>
    <col min="2582" max="2582" width="15.625" style="86"/>
    <col min="2583" max="2583" width="13.375" style="86" bestFit="1" customWidth="1"/>
    <col min="2584" max="2584" width="10.75" style="86" bestFit="1" customWidth="1"/>
    <col min="2585" max="2816" width="15.625" style="86"/>
    <col min="2817" max="2817" width="4.625" style="86" customWidth="1"/>
    <col min="2818" max="2818" width="23.625" style="86" customWidth="1"/>
    <col min="2819" max="2819" width="11.375" style="86" customWidth="1"/>
    <col min="2820" max="2820" width="10.625" style="86" customWidth="1"/>
    <col min="2821" max="2821" width="15.625" style="86"/>
    <col min="2822" max="2824" width="10.75" style="86" bestFit="1" customWidth="1"/>
    <col min="2825" max="2825" width="10.125" style="86" bestFit="1" customWidth="1"/>
    <col min="2826" max="2826" width="10.75" style="86" bestFit="1" customWidth="1"/>
    <col min="2827" max="2827" width="11" style="86" bestFit="1" customWidth="1"/>
    <col min="2828" max="2828" width="10.75" style="86" bestFit="1" customWidth="1"/>
    <col min="2829" max="2829" width="15.625" style="86"/>
    <col min="2830" max="2830" width="11.5" style="86" bestFit="1" customWidth="1"/>
    <col min="2831" max="2833" width="10.75" style="86" bestFit="1" customWidth="1"/>
    <col min="2834" max="2836" width="15.625" style="86"/>
    <col min="2837" max="2837" width="14.625" style="86" bestFit="1" customWidth="1"/>
    <col min="2838" max="2838" width="15.625" style="86"/>
    <col min="2839" max="2839" width="13.375" style="86" bestFit="1" customWidth="1"/>
    <col min="2840" max="2840" width="10.75" style="86" bestFit="1" customWidth="1"/>
    <col min="2841" max="3072" width="15.625" style="86"/>
    <col min="3073" max="3073" width="4.625" style="86" customWidth="1"/>
    <col min="3074" max="3074" width="23.625" style="86" customWidth="1"/>
    <col min="3075" max="3075" width="11.375" style="86" customWidth="1"/>
    <col min="3076" max="3076" width="10.625" style="86" customWidth="1"/>
    <col min="3077" max="3077" width="15.625" style="86"/>
    <col min="3078" max="3080" width="10.75" style="86" bestFit="1" customWidth="1"/>
    <col min="3081" max="3081" width="10.125" style="86" bestFit="1" customWidth="1"/>
    <col min="3082" max="3082" width="10.75" style="86" bestFit="1" customWidth="1"/>
    <col min="3083" max="3083" width="11" style="86" bestFit="1" customWidth="1"/>
    <col min="3084" max="3084" width="10.75" style="86" bestFit="1" customWidth="1"/>
    <col min="3085" max="3085" width="15.625" style="86"/>
    <col min="3086" max="3086" width="11.5" style="86" bestFit="1" customWidth="1"/>
    <col min="3087" max="3089" width="10.75" style="86" bestFit="1" customWidth="1"/>
    <col min="3090" max="3092" width="15.625" style="86"/>
    <col min="3093" max="3093" width="14.625" style="86" bestFit="1" customWidth="1"/>
    <col min="3094" max="3094" width="15.625" style="86"/>
    <col min="3095" max="3095" width="13.375" style="86" bestFit="1" customWidth="1"/>
    <col min="3096" max="3096" width="10.75" style="86" bestFit="1" customWidth="1"/>
    <col min="3097" max="3328" width="15.625" style="86"/>
    <col min="3329" max="3329" width="4.625" style="86" customWidth="1"/>
    <col min="3330" max="3330" width="23.625" style="86" customWidth="1"/>
    <col min="3331" max="3331" width="11.375" style="86" customWidth="1"/>
    <col min="3332" max="3332" width="10.625" style="86" customWidth="1"/>
    <col min="3333" max="3333" width="15.625" style="86"/>
    <col min="3334" max="3336" width="10.75" style="86" bestFit="1" customWidth="1"/>
    <col min="3337" max="3337" width="10.125" style="86" bestFit="1" customWidth="1"/>
    <col min="3338" max="3338" width="10.75" style="86" bestFit="1" customWidth="1"/>
    <col min="3339" max="3339" width="11" style="86" bestFit="1" customWidth="1"/>
    <col min="3340" max="3340" width="10.75" style="86" bestFit="1" customWidth="1"/>
    <col min="3341" max="3341" width="15.625" style="86"/>
    <col min="3342" max="3342" width="11.5" style="86" bestFit="1" customWidth="1"/>
    <col min="3343" max="3345" width="10.75" style="86" bestFit="1" customWidth="1"/>
    <col min="3346" max="3348" width="15.625" style="86"/>
    <col min="3349" max="3349" width="14.625" style="86" bestFit="1" customWidth="1"/>
    <col min="3350" max="3350" width="15.625" style="86"/>
    <col min="3351" max="3351" width="13.375" style="86" bestFit="1" customWidth="1"/>
    <col min="3352" max="3352" width="10.75" style="86" bestFit="1" customWidth="1"/>
    <col min="3353" max="3584" width="15.625" style="86"/>
    <col min="3585" max="3585" width="4.625" style="86" customWidth="1"/>
    <col min="3586" max="3586" width="23.625" style="86" customWidth="1"/>
    <col min="3587" max="3587" width="11.375" style="86" customWidth="1"/>
    <col min="3588" max="3588" width="10.625" style="86" customWidth="1"/>
    <col min="3589" max="3589" width="15.625" style="86"/>
    <col min="3590" max="3592" width="10.75" style="86" bestFit="1" customWidth="1"/>
    <col min="3593" max="3593" width="10.125" style="86" bestFit="1" customWidth="1"/>
    <col min="3594" max="3594" width="10.75" style="86" bestFit="1" customWidth="1"/>
    <col min="3595" max="3595" width="11" style="86" bestFit="1" customWidth="1"/>
    <col min="3596" max="3596" width="10.75" style="86" bestFit="1" customWidth="1"/>
    <col min="3597" max="3597" width="15.625" style="86"/>
    <col min="3598" max="3598" width="11.5" style="86" bestFit="1" customWidth="1"/>
    <col min="3599" max="3601" width="10.75" style="86" bestFit="1" customWidth="1"/>
    <col min="3602" max="3604" width="15.625" style="86"/>
    <col min="3605" max="3605" width="14.625" style="86" bestFit="1" customWidth="1"/>
    <col min="3606" max="3606" width="15.625" style="86"/>
    <col min="3607" max="3607" width="13.375" style="86" bestFit="1" customWidth="1"/>
    <col min="3608" max="3608" width="10.75" style="86" bestFit="1" customWidth="1"/>
    <col min="3609" max="3840" width="15.625" style="86"/>
    <col min="3841" max="3841" width="4.625" style="86" customWidth="1"/>
    <col min="3842" max="3842" width="23.625" style="86" customWidth="1"/>
    <col min="3843" max="3843" width="11.375" style="86" customWidth="1"/>
    <col min="3844" max="3844" width="10.625" style="86" customWidth="1"/>
    <col min="3845" max="3845" width="15.625" style="86"/>
    <col min="3846" max="3848" width="10.75" style="86" bestFit="1" customWidth="1"/>
    <col min="3849" max="3849" width="10.125" style="86" bestFit="1" customWidth="1"/>
    <col min="3850" max="3850" width="10.75" style="86" bestFit="1" customWidth="1"/>
    <col min="3851" max="3851" width="11" style="86" bestFit="1" customWidth="1"/>
    <col min="3852" max="3852" width="10.75" style="86" bestFit="1" customWidth="1"/>
    <col min="3853" max="3853" width="15.625" style="86"/>
    <col min="3854" max="3854" width="11.5" style="86" bestFit="1" customWidth="1"/>
    <col min="3855" max="3857" width="10.75" style="86" bestFit="1" customWidth="1"/>
    <col min="3858" max="3860" width="15.625" style="86"/>
    <col min="3861" max="3861" width="14.625" style="86" bestFit="1" customWidth="1"/>
    <col min="3862" max="3862" width="15.625" style="86"/>
    <col min="3863" max="3863" width="13.375" style="86" bestFit="1" customWidth="1"/>
    <col min="3864" max="3864" width="10.75" style="86" bestFit="1" customWidth="1"/>
    <col min="3865" max="4096" width="15.625" style="86"/>
    <col min="4097" max="4097" width="4.625" style="86" customWidth="1"/>
    <col min="4098" max="4098" width="23.625" style="86" customWidth="1"/>
    <col min="4099" max="4099" width="11.375" style="86" customWidth="1"/>
    <col min="4100" max="4100" width="10.625" style="86" customWidth="1"/>
    <col min="4101" max="4101" width="15.625" style="86"/>
    <col min="4102" max="4104" width="10.75" style="86" bestFit="1" customWidth="1"/>
    <col min="4105" max="4105" width="10.125" style="86" bestFit="1" customWidth="1"/>
    <col min="4106" max="4106" width="10.75" style="86" bestFit="1" customWidth="1"/>
    <col min="4107" max="4107" width="11" style="86" bestFit="1" customWidth="1"/>
    <col min="4108" max="4108" width="10.75" style="86" bestFit="1" customWidth="1"/>
    <col min="4109" max="4109" width="15.625" style="86"/>
    <col min="4110" max="4110" width="11.5" style="86" bestFit="1" customWidth="1"/>
    <col min="4111" max="4113" width="10.75" style="86" bestFit="1" customWidth="1"/>
    <col min="4114" max="4116" width="15.625" style="86"/>
    <col min="4117" max="4117" width="14.625" style="86" bestFit="1" customWidth="1"/>
    <col min="4118" max="4118" width="15.625" style="86"/>
    <col min="4119" max="4119" width="13.375" style="86" bestFit="1" customWidth="1"/>
    <col min="4120" max="4120" width="10.75" style="86" bestFit="1" customWidth="1"/>
    <col min="4121" max="4352" width="15.625" style="86"/>
    <col min="4353" max="4353" width="4.625" style="86" customWidth="1"/>
    <col min="4354" max="4354" width="23.625" style="86" customWidth="1"/>
    <col min="4355" max="4355" width="11.375" style="86" customWidth="1"/>
    <col min="4356" max="4356" width="10.625" style="86" customWidth="1"/>
    <col min="4357" max="4357" width="15.625" style="86"/>
    <col min="4358" max="4360" width="10.75" style="86" bestFit="1" customWidth="1"/>
    <col min="4361" max="4361" width="10.125" style="86" bestFit="1" customWidth="1"/>
    <col min="4362" max="4362" width="10.75" style="86" bestFit="1" customWidth="1"/>
    <col min="4363" max="4363" width="11" style="86" bestFit="1" customWidth="1"/>
    <col min="4364" max="4364" width="10.75" style="86" bestFit="1" customWidth="1"/>
    <col min="4365" max="4365" width="15.625" style="86"/>
    <col min="4366" max="4366" width="11.5" style="86" bestFit="1" customWidth="1"/>
    <col min="4367" max="4369" width="10.75" style="86" bestFit="1" customWidth="1"/>
    <col min="4370" max="4372" width="15.625" style="86"/>
    <col min="4373" max="4373" width="14.625" style="86" bestFit="1" customWidth="1"/>
    <col min="4374" max="4374" width="15.625" style="86"/>
    <col min="4375" max="4375" width="13.375" style="86" bestFit="1" customWidth="1"/>
    <col min="4376" max="4376" width="10.75" style="86" bestFit="1" customWidth="1"/>
    <col min="4377" max="4608" width="15.625" style="86"/>
    <col min="4609" max="4609" width="4.625" style="86" customWidth="1"/>
    <col min="4610" max="4610" width="23.625" style="86" customWidth="1"/>
    <col min="4611" max="4611" width="11.375" style="86" customWidth="1"/>
    <col min="4612" max="4612" width="10.625" style="86" customWidth="1"/>
    <col min="4613" max="4613" width="15.625" style="86"/>
    <col min="4614" max="4616" width="10.75" style="86" bestFit="1" customWidth="1"/>
    <col min="4617" max="4617" width="10.125" style="86" bestFit="1" customWidth="1"/>
    <col min="4618" max="4618" width="10.75" style="86" bestFit="1" customWidth="1"/>
    <col min="4619" max="4619" width="11" style="86" bestFit="1" customWidth="1"/>
    <col min="4620" max="4620" width="10.75" style="86" bestFit="1" customWidth="1"/>
    <col min="4621" max="4621" width="15.625" style="86"/>
    <col min="4622" max="4622" width="11.5" style="86" bestFit="1" customWidth="1"/>
    <col min="4623" max="4625" width="10.75" style="86" bestFit="1" customWidth="1"/>
    <col min="4626" max="4628" width="15.625" style="86"/>
    <col min="4629" max="4629" width="14.625" style="86" bestFit="1" customWidth="1"/>
    <col min="4630" max="4630" width="15.625" style="86"/>
    <col min="4631" max="4631" width="13.375" style="86" bestFit="1" customWidth="1"/>
    <col min="4632" max="4632" width="10.75" style="86" bestFit="1" customWidth="1"/>
    <col min="4633" max="4864" width="15.625" style="86"/>
    <col min="4865" max="4865" width="4.625" style="86" customWidth="1"/>
    <col min="4866" max="4866" width="23.625" style="86" customWidth="1"/>
    <col min="4867" max="4867" width="11.375" style="86" customWidth="1"/>
    <col min="4868" max="4868" width="10.625" style="86" customWidth="1"/>
    <col min="4869" max="4869" width="15.625" style="86"/>
    <col min="4870" max="4872" width="10.75" style="86" bestFit="1" customWidth="1"/>
    <col min="4873" max="4873" width="10.125" style="86" bestFit="1" customWidth="1"/>
    <col min="4874" max="4874" width="10.75" style="86" bestFit="1" customWidth="1"/>
    <col min="4875" max="4875" width="11" style="86" bestFit="1" customWidth="1"/>
    <col min="4876" max="4876" width="10.75" style="86" bestFit="1" customWidth="1"/>
    <col min="4877" max="4877" width="15.625" style="86"/>
    <col min="4878" max="4878" width="11.5" style="86" bestFit="1" customWidth="1"/>
    <col min="4879" max="4881" width="10.75" style="86" bestFit="1" customWidth="1"/>
    <col min="4882" max="4884" width="15.625" style="86"/>
    <col min="4885" max="4885" width="14.625" style="86" bestFit="1" customWidth="1"/>
    <col min="4886" max="4886" width="15.625" style="86"/>
    <col min="4887" max="4887" width="13.375" style="86" bestFit="1" customWidth="1"/>
    <col min="4888" max="4888" width="10.75" style="86" bestFit="1" customWidth="1"/>
    <col min="4889" max="5120" width="15.625" style="86"/>
    <col min="5121" max="5121" width="4.625" style="86" customWidth="1"/>
    <col min="5122" max="5122" width="23.625" style="86" customWidth="1"/>
    <col min="5123" max="5123" width="11.375" style="86" customWidth="1"/>
    <col min="5124" max="5124" width="10.625" style="86" customWidth="1"/>
    <col min="5125" max="5125" width="15.625" style="86"/>
    <col min="5126" max="5128" width="10.75" style="86" bestFit="1" customWidth="1"/>
    <col min="5129" max="5129" width="10.125" style="86" bestFit="1" customWidth="1"/>
    <col min="5130" max="5130" width="10.75" style="86" bestFit="1" customWidth="1"/>
    <col min="5131" max="5131" width="11" style="86" bestFit="1" customWidth="1"/>
    <col min="5132" max="5132" width="10.75" style="86" bestFit="1" customWidth="1"/>
    <col min="5133" max="5133" width="15.625" style="86"/>
    <col min="5134" max="5134" width="11.5" style="86" bestFit="1" customWidth="1"/>
    <col min="5135" max="5137" width="10.75" style="86" bestFit="1" customWidth="1"/>
    <col min="5138" max="5140" width="15.625" style="86"/>
    <col min="5141" max="5141" width="14.625" style="86" bestFit="1" customWidth="1"/>
    <col min="5142" max="5142" width="15.625" style="86"/>
    <col min="5143" max="5143" width="13.375" style="86" bestFit="1" customWidth="1"/>
    <col min="5144" max="5144" width="10.75" style="86" bestFit="1" customWidth="1"/>
    <col min="5145" max="5376" width="15.625" style="86"/>
    <col min="5377" max="5377" width="4.625" style="86" customWidth="1"/>
    <col min="5378" max="5378" width="23.625" style="86" customWidth="1"/>
    <col min="5379" max="5379" width="11.375" style="86" customWidth="1"/>
    <col min="5380" max="5380" width="10.625" style="86" customWidth="1"/>
    <col min="5381" max="5381" width="15.625" style="86"/>
    <col min="5382" max="5384" width="10.75" style="86" bestFit="1" customWidth="1"/>
    <col min="5385" max="5385" width="10.125" style="86" bestFit="1" customWidth="1"/>
    <col min="5386" max="5386" width="10.75" style="86" bestFit="1" customWidth="1"/>
    <col min="5387" max="5387" width="11" style="86" bestFit="1" customWidth="1"/>
    <col min="5388" max="5388" width="10.75" style="86" bestFit="1" customWidth="1"/>
    <col min="5389" max="5389" width="15.625" style="86"/>
    <col min="5390" max="5390" width="11.5" style="86" bestFit="1" customWidth="1"/>
    <col min="5391" max="5393" width="10.75" style="86" bestFit="1" customWidth="1"/>
    <col min="5394" max="5396" width="15.625" style="86"/>
    <col min="5397" max="5397" width="14.625" style="86" bestFit="1" customWidth="1"/>
    <col min="5398" max="5398" width="15.625" style="86"/>
    <col min="5399" max="5399" width="13.375" style="86" bestFit="1" customWidth="1"/>
    <col min="5400" max="5400" width="10.75" style="86" bestFit="1" customWidth="1"/>
    <col min="5401" max="5632" width="15.625" style="86"/>
    <col min="5633" max="5633" width="4.625" style="86" customWidth="1"/>
    <col min="5634" max="5634" width="23.625" style="86" customWidth="1"/>
    <col min="5635" max="5635" width="11.375" style="86" customWidth="1"/>
    <col min="5636" max="5636" width="10.625" style="86" customWidth="1"/>
    <col min="5637" max="5637" width="15.625" style="86"/>
    <col min="5638" max="5640" width="10.75" style="86" bestFit="1" customWidth="1"/>
    <col min="5641" max="5641" width="10.125" style="86" bestFit="1" customWidth="1"/>
    <col min="5642" max="5642" width="10.75" style="86" bestFit="1" customWidth="1"/>
    <col min="5643" max="5643" width="11" style="86" bestFit="1" customWidth="1"/>
    <col min="5644" max="5644" width="10.75" style="86" bestFit="1" customWidth="1"/>
    <col min="5645" max="5645" width="15.625" style="86"/>
    <col min="5646" max="5646" width="11.5" style="86" bestFit="1" customWidth="1"/>
    <col min="5647" max="5649" width="10.75" style="86" bestFit="1" customWidth="1"/>
    <col min="5650" max="5652" width="15.625" style="86"/>
    <col min="5653" max="5653" width="14.625" style="86" bestFit="1" customWidth="1"/>
    <col min="5654" max="5654" width="15.625" style="86"/>
    <col min="5655" max="5655" width="13.375" style="86" bestFit="1" customWidth="1"/>
    <col min="5656" max="5656" width="10.75" style="86" bestFit="1" customWidth="1"/>
    <col min="5657" max="5888" width="15.625" style="86"/>
    <col min="5889" max="5889" width="4.625" style="86" customWidth="1"/>
    <col min="5890" max="5890" width="23.625" style="86" customWidth="1"/>
    <col min="5891" max="5891" width="11.375" style="86" customWidth="1"/>
    <col min="5892" max="5892" width="10.625" style="86" customWidth="1"/>
    <col min="5893" max="5893" width="15.625" style="86"/>
    <col min="5894" max="5896" width="10.75" style="86" bestFit="1" customWidth="1"/>
    <col min="5897" max="5897" width="10.125" style="86" bestFit="1" customWidth="1"/>
    <col min="5898" max="5898" width="10.75" style="86" bestFit="1" customWidth="1"/>
    <col min="5899" max="5899" width="11" style="86" bestFit="1" customWidth="1"/>
    <col min="5900" max="5900" width="10.75" style="86" bestFit="1" customWidth="1"/>
    <col min="5901" max="5901" width="15.625" style="86"/>
    <col min="5902" max="5902" width="11.5" style="86" bestFit="1" customWidth="1"/>
    <col min="5903" max="5905" width="10.75" style="86" bestFit="1" customWidth="1"/>
    <col min="5906" max="5908" width="15.625" style="86"/>
    <col min="5909" max="5909" width="14.625" style="86" bestFit="1" customWidth="1"/>
    <col min="5910" max="5910" width="15.625" style="86"/>
    <col min="5911" max="5911" width="13.375" style="86" bestFit="1" customWidth="1"/>
    <col min="5912" max="5912" width="10.75" style="86" bestFit="1" customWidth="1"/>
    <col min="5913" max="6144" width="15.625" style="86"/>
    <col min="6145" max="6145" width="4.625" style="86" customWidth="1"/>
    <col min="6146" max="6146" width="23.625" style="86" customWidth="1"/>
    <col min="6147" max="6147" width="11.375" style="86" customWidth="1"/>
    <col min="6148" max="6148" width="10.625" style="86" customWidth="1"/>
    <col min="6149" max="6149" width="15.625" style="86"/>
    <col min="6150" max="6152" width="10.75" style="86" bestFit="1" customWidth="1"/>
    <col min="6153" max="6153" width="10.125" style="86" bestFit="1" customWidth="1"/>
    <col min="6154" max="6154" width="10.75" style="86" bestFit="1" customWidth="1"/>
    <col min="6155" max="6155" width="11" style="86" bestFit="1" customWidth="1"/>
    <col min="6156" max="6156" width="10.75" style="86" bestFit="1" customWidth="1"/>
    <col min="6157" max="6157" width="15.625" style="86"/>
    <col min="6158" max="6158" width="11.5" style="86" bestFit="1" customWidth="1"/>
    <col min="6159" max="6161" width="10.75" style="86" bestFit="1" customWidth="1"/>
    <col min="6162" max="6164" width="15.625" style="86"/>
    <col min="6165" max="6165" width="14.625" style="86" bestFit="1" customWidth="1"/>
    <col min="6166" max="6166" width="15.625" style="86"/>
    <col min="6167" max="6167" width="13.375" style="86" bestFit="1" customWidth="1"/>
    <col min="6168" max="6168" width="10.75" style="86" bestFit="1" customWidth="1"/>
    <col min="6169" max="6400" width="15.625" style="86"/>
    <col min="6401" max="6401" width="4.625" style="86" customWidth="1"/>
    <col min="6402" max="6402" width="23.625" style="86" customWidth="1"/>
    <col min="6403" max="6403" width="11.375" style="86" customWidth="1"/>
    <col min="6404" max="6404" width="10.625" style="86" customWidth="1"/>
    <col min="6405" max="6405" width="15.625" style="86"/>
    <col min="6406" max="6408" width="10.75" style="86" bestFit="1" customWidth="1"/>
    <col min="6409" max="6409" width="10.125" style="86" bestFit="1" customWidth="1"/>
    <col min="6410" max="6410" width="10.75" style="86" bestFit="1" customWidth="1"/>
    <col min="6411" max="6411" width="11" style="86" bestFit="1" customWidth="1"/>
    <col min="6412" max="6412" width="10.75" style="86" bestFit="1" customWidth="1"/>
    <col min="6413" max="6413" width="15.625" style="86"/>
    <col min="6414" max="6414" width="11.5" style="86" bestFit="1" customWidth="1"/>
    <col min="6415" max="6417" width="10.75" style="86" bestFit="1" customWidth="1"/>
    <col min="6418" max="6420" width="15.625" style="86"/>
    <col min="6421" max="6421" width="14.625" style="86" bestFit="1" customWidth="1"/>
    <col min="6422" max="6422" width="15.625" style="86"/>
    <col min="6423" max="6423" width="13.375" style="86" bestFit="1" customWidth="1"/>
    <col min="6424" max="6424" width="10.75" style="86" bestFit="1" customWidth="1"/>
    <col min="6425" max="6656" width="15.625" style="86"/>
    <col min="6657" max="6657" width="4.625" style="86" customWidth="1"/>
    <col min="6658" max="6658" width="23.625" style="86" customWidth="1"/>
    <col min="6659" max="6659" width="11.375" style="86" customWidth="1"/>
    <col min="6660" max="6660" width="10.625" style="86" customWidth="1"/>
    <col min="6661" max="6661" width="15.625" style="86"/>
    <col min="6662" max="6664" width="10.75" style="86" bestFit="1" customWidth="1"/>
    <col min="6665" max="6665" width="10.125" style="86" bestFit="1" customWidth="1"/>
    <col min="6666" max="6666" width="10.75" style="86" bestFit="1" customWidth="1"/>
    <col min="6667" max="6667" width="11" style="86" bestFit="1" customWidth="1"/>
    <col min="6668" max="6668" width="10.75" style="86" bestFit="1" customWidth="1"/>
    <col min="6669" max="6669" width="15.625" style="86"/>
    <col min="6670" max="6670" width="11.5" style="86" bestFit="1" customWidth="1"/>
    <col min="6671" max="6673" width="10.75" style="86" bestFit="1" customWidth="1"/>
    <col min="6674" max="6676" width="15.625" style="86"/>
    <col min="6677" max="6677" width="14.625" style="86" bestFit="1" customWidth="1"/>
    <col min="6678" max="6678" width="15.625" style="86"/>
    <col min="6679" max="6679" width="13.375" style="86" bestFit="1" customWidth="1"/>
    <col min="6680" max="6680" width="10.75" style="86" bestFit="1" customWidth="1"/>
    <col min="6681" max="6912" width="15.625" style="86"/>
    <col min="6913" max="6913" width="4.625" style="86" customWidth="1"/>
    <col min="6914" max="6914" width="23.625" style="86" customWidth="1"/>
    <col min="6915" max="6915" width="11.375" style="86" customWidth="1"/>
    <col min="6916" max="6916" width="10.625" style="86" customWidth="1"/>
    <col min="6917" max="6917" width="15.625" style="86"/>
    <col min="6918" max="6920" width="10.75" style="86" bestFit="1" customWidth="1"/>
    <col min="6921" max="6921" width="10.125" style="86" bestFit="1" customWidth="1"/>
    <col min="6922" max="6922" width="10.75" style="86" bestFit="1" customWidth="1"/>
    <col min="6923" max="6923" width="11" style="86" bestFit="1" customWidth="1"/>
    <col min="6924" max="6924" width="10.75" style="86" bestFit="1" customWidth="1"/>
    <col min="6925" max="6925" width="15.625" style="86"/>
    <col min="6926" max="6926" width="11.5" style="86" bestFit="1" customWidth="1"/>
    <col min="6927" max="6929" width="10.75" style="86" bestFit="1" customWidth="1"/>
    <col min="6930" max="6932" width="15.625" style="86"/>
    <col min="6933" max="6933" width="14.625" style="86" bestFit="1" customWidth="1"/>
    <col min="6934" max="6934" width="15.625" style="86"/>
    <col min="6935" max="6935" width="13.375" style="86" bestFit="1" customWidth="1"/>
    <col min="6936" max="6936" width="10.75" style="86" bestFit="1" customWidth="1"/>
    <col min="6937" max="7168" width="15.625" style="86"/>
    <col min="7169" max="7169" width="4.625" style="86" customWidth="1"/>
    <col min="7170" max="7170" width="23.625" style="86" customWidth="1"/>
    <col min="7171" max="7171" width="11.375" style="86" customWidth="1"/>
    <col min="7172" max="7172" width="10.625" style="86" customWidth="1"/>
    <col min="7173" max="7173" width="15.625" style="86"/>
    <col min="7174" max="7176" width="10.75" style="86" bestFit="1" customWidth="1"/>
    <col min="7177" max="7177" width="10.125" style="86" bestFit="1" customWidth="1"/>
    <col min="7178" max="7178" width="10.75" style="86" bestFit="1" customWidth="1"/>
    <col min="7179" max="7179" width="11" style="86" bestFit="1" customWidth="1"/>
    <col min="7180" max="7180" width="10.75" style="86" bestFit="1" customWidth="1"/>
    <col min="7181" max="7181" width="15.625" style="86"/>
    <col min="7182" max="7182" width="11.5" style="86" bestFit="1" customWidth="1"/>
    <col min="7183" max="7185" width="10.75" style="86" bestFit="1" customWidth="1"/>
    <col min="7186" max="7188" width="15.625" style="86"/>
    <col min="7189" max="7189" width="14.625" style="86" bestFit="1" customWidth="1"/>
    <col min="7190" max="7190" width="15.625" style="86"/>
    <col min="7191" max="7191" width="13.375" style="86" bestFit="1" customWidth="1"/>
    <col min="7192" max="7192" width="10.75" style="86" bestFit="1" customWidth="1"/>
    <col min="7193" max="7424" width="15.625" style="86"/>
    <col min="7425" max="7425" width="4.625" style="86" customWidth="1"/>
    <col min="7426" max="7426" width="23.625" style="86" customWidth="1"/>
    <col min="7427" max="7427" width="11.375" style="86" customWidth="1"/>
    <col min="7428" max="7428" width="10.625" style="86" customWidth="1"/>
    <col min="7429" max="7429" width="15.625" style="86"/>
    <col min="7430" max="7432" width="10.75" style="86" bestFit="1" customWidth="1"/>
    <col min="7433" max="7433" width="10.125" style="86" bestFit="1" customWidth="1"/>
    <col min="7434" max="7434" width="10.75" style="86" bestFit="1" customWidth="1"/>
    <col min="7435" max="7435" width="11" style="86" bestFit="1" customWidth="1"/>
    <col min="7436" max="7436" width="10.75" style="86" bestFit="1" customWidth="1"/>
    <col min="7437" max="7437" width="15.625" style="86"/>
    <col min="7438" max="7438" width="11.5" style="86" bestFit="1" customWidth="1"/>
    <col min="7439" max="7441" width="10.75" style="86" bestFit="1" customWidth="1"/>
    <col min="7442" max="7444" width="15.625" style="86"/>
    <col min="7445" max="7445" width="14.625" style="86" bestFit="1" customWidth="1"/>
    <col min="7446" max="7446" width="15.625" style="86"/>
    <col min="7447" max="7447" width="13.375" style="86" bestFit="1" customWidth="1"/>
    <col min="7448" max="7448" width="10.75" style="86" bestFit="1" customWidth="1"/>
    <col min="7449" max="7680" width="15.625" style="86"/>
    <col min="7681" max="7681" width="4.625" style="86" customWidth="1"/>
    <col min="7682" max="7682" width="23.625" style="86" customWidth="1"/>
    <col min="7683" max="7683" width="11.375" style="86" customWidth="1"/>
    <col min="7684" max="7684" width="10.625" style="86" customWidth="1"/>
    <col min="7685" max="7685" width="15.625" style="86"/>
    <col min="7686" max="7688" width="10.75" style="86" bestFit="1" customWidth="1"/>
    <col min="7689" max="7689" width="10.125" style="86" bestFit="1" customWidth="1"/>
    <col min="7690" max="7690" width="10.75" style="86" bestFit="1" customWidth="1"/>
    <col min="7691" max="7691" width="11" style="86" bestFit="1" customWidth="1"/>
    <col min="7692" max="7692" width="10.75" style="86" bestFit="1" customWidth="1"/>
    <col min="7693" max="7693" width="15.625" style="86"/>
    <col min="7694" max="7694" width="11.5" style="86" bestFit="1" customWidth="1"/>
    <col min="7695" max="7697" width="10.75" style="86" bestFit="1" customWidth="1"/>
    <col min="7698" max="7700" width="15.625" style="86"/>
    <col min="7701" max="7701" width="14.625" style="86" bestFit="1" customWidth="1"/>
    <col min="7702" max="7702" width="15.625" style="86"/>
    <col min="7703" max="7703" width="13.375" style="86" bestFit="1" customWidth="1"/>
    <col min="7704" max="7704" width="10.75" style="86" bestFit="1" customWidth="1"/>
    <col min="7705" max="7936" width="15.625" style="86"/>
    <col min="7937" max="7937" width="4.625" style="86" customWidth="1"/>
    <col min="7938" max="7938" width="23.625" style="86" customWidth="1"/>
    <col min="7939" max="7939" width="11.375" style="86" customWidth="1"/>
    <col min="7940" max="7940" width="10.625" style="86" customWidth="1"/>
    <col min="7941" max="7941" width="15.625" style="86"/>
    <col min="7942" max="7944" width="10.75" style="86" bestFit="1" customWidth="1"/>
    <col min="7945" max="7945" width="10.125" style="86" bestFit="1" customWidth="1"/>
    <col min="7946" max="7946" width="10.75" style="86" bestFit="1" customWidth="1"/>
    <col min="7947" max="7947" width="11" style="86" bestFit="1" customWidth="1"/>
    <col min="7948" max="7948" width="10.75" style="86" bestFit="1" customWidth="1"/>
    <col min="7949" max="7949" width="15.625" style="86"/>
    <col min="7950" max="7950" width="11.5" style="86" bestFit="1" customWidth="1"/>
    <col min="7951" max="7953" width="10.75" style="86" bestFit="1" customWidth="1"/>
    <col min="7954" max="7956" width="15.625" style="86"/>
    <col min="7957" max="7957" width="14.625" style="86" bestFit="1" customWidth="1"/>
    <col min="7958" max="7958" width="15.625" style="86"/>
    <col min="7959" max="7959" width="13.375" style="86" bestFit="1" customWidth="1"/>
    <col min="7960" max="7960" width="10.75" style="86" bestFit="1" customWidth="1"/>
    <col min="7961" max="8192" width="15.625" style="86"/>
    <col min="8193" max="8193" width="4.625" style="86" customWidth="1"/>
    <col min="8194" max="8194" width="23.625" style="86" customWidth="1"/>
    <col min="8195" max="8195" width="11.375" style="86" customWidth="1"/>
    <col min="8196" max="8196" width="10.625" style="86" customWidth="1"/>
    <col min="8197" max="8197" width="15.625" style="86"/>
    <col min="8198" max="8200" width="10.75" style="86" bestFit="1" customWidth="1"/>
    <col min="8201" max="8201" width="10.125" style="86" bestFit="1" customWidth="1"/>
    <col min="8202" max="8202" width="10.75" style="86" bestFit="1" customWidth="1"/>
    <col min="8203" max="8203" width="11" style="86" bestFit="1" customWidth="1"/>
    <col min="8204" max="8204" width="10.75" style="86" bestFit="1" customWidth="1"/>
    <col min="8205" max="8205" width="15.625" style="86"/>
    <col min="8206" max="8206" width="11.5" style="86" bestFit="1" customWidth="1"/>
    <col min="8207" max="8209" width="10.75" style="86" bestFit="1" customWidth="1"/>
    <col min="8210" max="8212" width="15.625" style="86"/>
    <col min="8213" max="8213" width="14.625" style="86" bestFit="1" customWidth="1"/>
    <col min="8214" max="8214" width="15.625" style="86"/>
    <col min="8215" max="8215" width="13.375" style="86" bestFit="1" customWidth="1"/>
    <col min="8216" max="8216" width="10.75" style="86" bestFit="1" customWidth="1"/>
    <col min="8217" max="8448" width="15.625" style="86"/>
    <col min="8449" max="8449" width="4.625" style="86" customWidth="1"/>
    <col min="8450" max="8450" width="23.625" style="86" customWidth="1"/>
    <col min="8451" max="8451" width="11.375" style="86" customWidth="1"/>
    <col min="8452" max="8452" width="10.625" style="86" customWidth="1"/>
    <col min="8453" max="8453" width="15.625" style="86"/>
    <col min="8454" max="8456" width="10.75" style="86" bestFit="1" customWidth="1"/>
    <col min="8457" max="8457" width="10.125" style="86" bestFit="1" customWidth="1"/>
    <col min="8458" max="8458" width="10.75" style="86" bestFit="1" customWidth="1"/>
    <col min="8459" max="8459" width="11" style="86" bestFit="1" customWidth="1"/>
    <col min="8460" max="8460" width="10.75" style="86" bestFit="1" customWidth="1"/>
    <col min="8461" max="8461" width="15.625" style="86"/>
    <col min="8462" max="8462" width="11.5" style="86" bestFit="1" customWidth="1"/>
    <col min="8463" max="8465" width="10.75" style="86" bestFit="1" customWidth="1"/>
    <col min="8466" max="8468" width="15.625" style="86"/>
    <col min="8469" max="8469" width="14.625" style="86" bestFit="1" customWidth="1"/>
    <col min="8470" max="8470" width="15.625" style="86"/>
    <col min="8471" max="8471" width="13.375" style="86" bestFit="1" customWidth="1"/>
    <col min="8472" max="8472" width="10.75" style="86" bestFit="1" customWidth="1"/>
    <col min="8473" max="8704" width="15.625" style="86"/>
    <col min="8705" max="8705" width="4.625" style="86" customWidth="1"/>
    <col min="8706" max="8706" width="23.625" style="86" customWidth="1"/>
    <col min="8707" max="8707" width="11.375" style="86" customWidth="1"/>
    <col min="8708" max="8708" width="10.625" style="86" customWidth="1"/>
    <col min="8709" max="8709" width="15.625" style="86"/>
    <col min="8710" max="8712" width="10.75" style="86" bestFit="1" customWidth="1"/>
    <col min="8713" max="8713" width="10.125" style="86" bestFit="1" customWidth="1"/>
    <col min="8714" max="8714" width="10.75" style="86" bestFit="1" customWidth="1"/>
    <col min="8715" max="8715" width="11" style="86" bestFit="1" customWidth="1"/>
    <col min="8716" max="8716" width="10.75" style="86" bestFit="1" customWidth="1"/>
    <col min="8717" max="8717" width="15.625" style="86"/>
    <col min="8718" max="8718" width="11.5" style="86" bestFit="1" customWidth="1"/>
    <col min="8719" max="8721" width="10.75" style="86" bestFit="1" customWidth="1"/>
    <col min="8722" max="8724" width="15.625" style="86"/>
    <col min="8725" max="8725" width="14.625" style="86" bestFit="1" customWidth="1"/>
    <col min="8726" max="8726" width="15.625" style="86"/>
    <col min="8727" max="8727" width="13.375" style="86" bestFit="1" customWidth="1"/>
    <col min="8728" max="8728" width="10.75" style="86" bestFit="1" customWidth="1"/>
    <col min="8729" max="8960" width="15.625" style="86"/>
    <col min="8961" max="8961" width="4.625" style="86" customWidth="1"/>
    <col min="8962" max="8962" width="23.625" style="86" customWidth="1"/>
    <col min="8963" max="8963" width="11.375" style="86" customWidth="1"/>
    <col min="8964" max="8964" width="10.625" style="86" customWidth="1"/>
    <col min="8965" max="8965" width="15.625" style="86"/>
    <col min="8966" max="8968" width="10.75" style="86" bestFit="1" customWidth="1"/>
    <col min="8969" max="8969" width="10.125" style="86" bestFit="1" customWidth="1"/>
    <col min="8970" max="8970" width="10.75" style="86" bestFit="1" customWidth="1"/>
    <col min="8971" max="8971" width="11" style="86" bestFit="1" customWidth="1"/>
    <col min="8972" max="8972" width="10.75" style="86" bestFit="1" customWidth="1"/>
    <col min="8973" max="8973" width="15.625" style="86"/>
    <col min="8974" max="8974" width="11.5" style="86" bestFit="1" customWidth="1"/>
    <col min="8975" max="8977" width="10.75" style="86" bestFit="1" customWidth="1"/>
    <col min="8978" max="8980" width="15.625" style="86"/>
    <col min="8981" max="8981" width="14.625" style="86" bestFit="1" customWidth="1"/>
    <col min="8982" max="8982" width="15.625" style="86"/>
    <col min="8983" max="8983" width="13.375" style="86" bestFit="1" customWidth="1"/>
    <col min="8984" max="8984" width="10.75" style="86" bestFit="1" customWidth="1"/>
    <col min="8985" max="9216" width="15.625" style="86"/>
    <col min="9217" max="9217" width="4.625" style="86" customWidth="1"/>
    <col min="9218" max="9218" width="23.625" style="86" customWidth="1"/>
    <col min="9219" max="9219" width="11.375" style="86" customWidth="1"/>
    <col min="9220" max="9220" width="10.625" style="86" customWidth="1"/>
    <col min="9221" max="9221" width="15.625" style="86"/>
    <col min="9222" max="9224" width="10.75" style="86" bestFit="1" customWidth="1"/>
    <col min="9225" max="9225" width="10.125" style="86" bestFit="1" customWidth="1"/>
    <col min="9226" max="9226" width="10.75" style="86" bestFit="1" customWidth="1"/>
    <col min="9227" max="9227" width="11" style="86" bestFit="1" customWidth="1"/>
    <col min="9228" max="9228" width="10.75" style="86" bestFit="1" customWidth="1"/>
    <col min="9229" max="9229" width="15.625" style="86"/>
    <col min="9230" max="9230" width="11.5" style="86" bestFit="1" customWidth="1"/>
    <col min="9231" max="9233" width="10.75" style="86" bestFit="1" customWidth="1"/>
    <col min="9234" max="9236" width="15.625" style="86"/>
    <col min="9237" max="9237" width="14.625" style="86" bestFit="1" customWidth="1"/>
    <col min="9238" max="9238" width="15.625" style="86"/>
    <col min="9239" max="9239" width="13.375" style="86" bestFit="1" customWidth="1"/>
    <col min="9240" max="9240" width="10.75" style="86" bestFit="1" customWidth="1"/>
    <col min="9241" max="9472" width="15.625" style="86"/>
    <col min="9473" max="9473" width="4.625" style="86" customWidth="1"/>
    <col min="9474" max="9474" width="23.625" style="86" customWidth="1"/>
    <col min="9475" max="9475" width="11.375" style="86" customWidth="1"/>
    <col min="9476" max="9476" width="10.625" style="86" customWidth="1"/>
    <col min="9477" max="9477" width="15.625" style="86"/>
    <col min="9478" max="9480" width="10.75" style="86" bestFit="1" customWidth="1"/>
    <col min="9481" max="9481" width="10.125" style="86" bestFit="1" customWidth="1"/>
    <col min="9482" max="9482" width="10.75" style="86" bestFit="1" customWidth="1"/>
    <col min="9483" max="9483" width="11" style="86" bestFit="1" customWidth="1"/>
    <col min="9484" max="9484" width="10.75" style="86" bestFit="1" customWidth="1"/>
    <col min="9485" max="9485" width="15.625" style="86"/>
    <col min="9486" max="9486" width="11.5" style="86" bestFit="1" customWidth="1"/>
    <col min="9487" max="9489" width="10.75" style="86" bestFit="1" customWidth="1"/>
    <col min="9490" max="9492" width="15.625" style="86"/>
    <col min="9493" max="9493" width="14.625" style="86" bestFit="1" customWidth="1"/>
    <col min="9494" max="9494" width="15.625" style="86"/>
    <col min="9495" max="9495" width="13.375" style="86" bestFit="1" customWidth="1"/>
    <col min="9496" max="9496" width="10.75" style="86" bestFit="1" customWidth="1"/>
    <col min="9497" max="9728" width="15.625" style="86"/>
    <col min="9729" max="9729" width="4.625" style="86" customWidth="1"/>
    <col min="9730" max="9730" width="23.625" style="86" customWidth="1"/>
    <col min="9731" max="9731" width="11.375" style="86" customWidth="1"/>
    <col min="9732" max="9732" width="10.625" style="86" customWidth="1"/>
    <col min="9733" max="9733" width="15.625" style="86"/>
    <col min="9734" max="9736" width="10.75" style="86" bestFit="1" customWidth="1"/>
    <col min="9737" max="9737" width="10.125" style="86" bestFit="1" customWidth="1"/>
    <col min="9738" max="9738" width="10.75" style="86" bestFit="1" customWidth="1"/>
    <col min="9739" max="9739" width="11" style="86" bestFit="1" customWidth="1"/>
    <col min="9740" max="9740" width="10.75" style="86" bestFit="1" customWidth="1"/>
    <col min="9741" max="9741" width="15.625" style="86"/>
    <col min="9742" max="9742" width="11.5" style="86" bestFit="1" customWidth="1"/>
    <col min="9743" max="9745" width="10.75" style="86" bestFit="1" customWidth="1"/>
    <col min="9746" max="9748" width="15.625" style="86"/>
    <col min="9749" max="9749" width="14.625" style="86" bestFit="1" customWidth="1"/>
    <col min="9750" max="9750" width="15.625" style="86"/>
    <col min="9751" max="9751" width="13.375" style="86" bestFit="1" customWidth="1"/>
    <col min="9752" max="9752" width="10.75" style="86" bestFit="1" customWidth="1"/>
    <col min="9753" max="9984" width="15.625" style="86"/>
    <col min="9985" max="9985" width="4.625" style="86" customWidth="1"/>
    <col min="9986" max="9986" width="23.625" style="86" customWidth="1"/>
    <col min="9987" max="9987" width="11.375" style="86" customWidth="1"/>
    <col min="9988" max="9988" width="10.625" style="86" customWidth="1"/>
    <col min="9989" max="9989" width="15.625" style="86"/>
    <col min="9990" max="9992" width="10.75" style="86" bestFit="1" customWidth="1"/>
    <col min="9993" max="9993" width="10.125" style="86" bestFit="1" customWidth="1"/>
    <col min="9994" max="9994" width="10.75" style="86" bestFit="1" customWidth="1"/>
    <col min="9995" max="9995" width="11" style="86" bestFit="1" customWidth="1"/>
    <col min="9996" max="9996" width="10.75" style="86" bestFit="1" customWidth="1"/>
    <col min="9997" max="9997" width="15.625" style="86"/>
    <col min="9998" max="9998" width="11.5" style="86" bestFit="1" customWidth="1"/>
    <col min="9999" max="10001" width="10.75" style="86" bestFit="1" customWidth="1"/>
    <col min="10002" max="10004" width="15.625" style="86"/>
    <col min="10005" max="10005" width="14.625" style="86" bestFit="1" customWidth="1"/>
    <col min="10006" max="10006" width="15.625" style="86"/>
    <col min="10007" max="10007" width="13.375" style="86" bestFit="1" customWidth="1"/>
    <col min="10008" max="10008" width="10.75" style="86" bestFit="1" customWidth="1"/>
    <col min="10009" max="10240" width="15.625" style="86"/>
    <col min="10241" max="10241" width="4.625" style="86" customWidth="1"/>
    <col min="10242" max="10242" width="23.625" style="86" customWidth="1"/>
    <col min="10243" max="10243" width="11.375" style="86" customWidth="1"/>
    <col min="10244" max="10244" width="10.625" style="86" customWidth="1"/>
    <col min="10245" max="10245" width="15.625" style="86"/>
    <col min="10246" max="10248" width="10.75" style="86" bestFit="1" customWidth="1"/>
    <col min="10249" max="10249" width="10.125" style="86" bestFit="1" customWidth="1"/>
    <col min="10250" max="10250" width="10.75" style="86" bestFit="1" customWidth="1"/>
    <col min="10251" max="10251" width="11" style="86" bestFit="1" customWidth="1"/>
    <col min="10252" max="10252" width="10.75" style="86" bestFit="1" customWidth="1"/>
    <col min="10253" max="10253" width="15.625" style="86"/>
    <col min="10254" max="10254" width="11.5" style="86" bestFit="1" customWidth="1"/>
    <col min="10255" max="10257" width="10.75" style="86" bestFit="1" customWidth="1"/>
    <col min="10258" max="10260" width="15.625" style="86"/>
    <col min="10261" max="10261" width="14.625" style="86" bestFit="1" customWidth="1"/>
    <col min="10262" max="10262" width="15.625" style="86"/>
    <col min="10263" max="10263" width="13.375" style="86" bestFit="1" customWidth="1"/>
    <col min="10264" max="10264" width="10.75" style="86" bestFit="1" customWidth="1"/>
    <col min="10265" max="10496" width="15.625" style="86"/>
    <col min="10497" max="10497" width="4.625" style="86" customWidth="1"/>
    <col min="10498" max="10498" width="23.625" style="86" customWidth="1"/>
    <col min="10499" max="10499" width="11.375" style="86" customWidth="1"/>
    <col min="10500" max="10500" width="10.625" style="86" customWidth="1"/>
    <col min="10501" max="10501" width="15.625" style="86"/>
    <col min="10502" max="10504" width="10.75" style="86" bestFit="1" customWidth="1"/>
    <col min="10505" max="10505" width="10.125" style="86" bestFit="1" customWidth="1"/>
    <col min="10506" max="10506" width="10.75" style="86" bestFit="1" customWidth="1"/>
    <col min="10507" max="10507" width="11" style="86" bestFit="1" customWidth="1"/>
    <col min="10508" max="10508" width="10.75" style="86" bestFit="1" customWidth="1"/>
    <col min="10509" max="10509" width="15.625" style="86"/>
    <col min="10510" max="10510" width="11.5" style="86" bestFit="1" customWidth="1"/>
    <col min="10511" max="10513" width="10.75" style="86" bestFit="1" customWidth="1"/>
    <col min="10514" max="10516" width="15.625" style="86"/>
    <col min="10517" max="10517" width="14.625" style="86" bestFit="1" customWidth="1"/>
    <col min="10518" max="10518" width="15.625" style="86"/>
    <col min="10519" max="10519" width="13.375" style="86" bestFit="1" customWidth="1"/>
    <col min="10520" max="10520" width="10.75" style="86" bestFit="1" customWidth="1"/>
    <col min="10521" max="10752" width="15.625" style="86"/>
    <col min="10753" max="10753" width="4.625" style="86" customWidth="1"/>
    <col min="10754" max="10754" width="23.625" style="86" customWidth="1"/>
    <col min="10755" max="10755" width="11.375" style="86" customWidth="1"/>
    <col min="10756" max="10756" width="10.625" style="86" customWidth="1"/>
    <col min="10757" max="10757" width="15.625" style="86"/>
    <col min="10758" max="10760" width="10.75" style="86" bestFit="1" customWidth="1"/>
    <col min="10761" max="10761" width="10.125" style="86" bestFit="1" customWidth="1"/>
    <col min="10762" max="10762" width="10.75" style="86" bestFit="1" customWidth="1"/>
    <col min="10763" max="10763" width="11" style="86" bestFit="1" customWidth="1"/>
    <col min="10764" max="10764" width="10.75" style="86" bestFit="1" customWidth="1"/>
    <col min="10765" max="10765" width="15.625" style="86"/>
    <col min="10766" max="10766" width="11.5" style="86" bestFit="1" customWidth="1"/>
    <col min="10767" max="10769" width="10.75" style="86" bestFit="1" customWidth="1"/>
    <col min="10770" max="10772" width="15.625" style="86"/>
    <col min="10773" max="10773" width="14.625" style="86" bestFit="1" customWidth="1"/>
    <col min="10774" max="10774" width="15.625" style="86"/>
    <col min="10775" max="10775" width="13.375" style="86" bestFit="1" customWidth="1"/>
    <col min="10776" max="10776" width="10.75" style="86" bestFit="1" customWidth="1"/>
    <col min="10777" max="11008" width="15.625" style="86"/>
    <col min="11009" max="11009" width="4.625" style="86" customWidth="1"/>
    <col min="11010" max="11010" width="23.625" style="86" customWidth="1"/>
    <col min="11011" max="11011" width="11.375" style="86" customWidth="1"/>
    <col min="11012" max="11012" width="10.625" style="86" customWidth="1"/>
    <col min="11013" max="11013" width="15.625" style="86"/>
    <col min="11014" max="11016" width="10.75" style="86" bestFit="1" customWidth="1"/>
    <col min="11017" max="11017" width="10.125" style="86" bestFit="1" customWidth="1"/>
    <col min="11018" max="11018" width="10.75" style="86" bestFit="1" customWidth="1"/>
    <col min="11019" max="11019" width="11" style="86" bestFit="1" customWidth="1"/>
    <col min="11020" max="11020" width="10.75" style="86" bestFit="1" customWidth="1"/>
    <col min="11021" max="11021" width="15.625" style="86"/>
    <col min="11022" max="11022" width="11.5" style="86" bestFit="1" customWidth="1"/>
    <col min="11023" max="11025" width="10.75" style="86" bestFit="1" customWidth="1"/>
    <col min="11026" max="11028" width="15.625" style="86"/>
    <col min="11029" max="11029" width="14.625" style="86" bestFit="1" customWidth="1"/>
    <col min="11030" max="11030" width="15.625" style="86"/>
    <col min="11031" max="11031" width="13.375" style="86" bestFit="1" customWidth="1"/>
    <col min="11032" max="11032" width="10.75" style="86" bestFit="1" customWidth="1"/>
    <col min="11033" max="11264" width="15.625" style="86"/>
    <col min="11265" max="11265" width="4.625" style="86" customWidth="1"/>
    <col min="11266" max="11266" width="23.625" style="86" customWidth="1"/>
    <col min="11267" max="11267" width="11.375" style="86" customWidth="1"/>
    <col min="11268" max="11268" width="10.625" style="86" customWidth="1"/>
    <col min="11269" max="11269" width="15.625" style="86"/>
    <col min="11270" max="11272" width="10.75" style="86" bestFit="1" customWidth="1"/>
    <col min="11273" max="11273" width="10.125" style="86" bestFit="1" customWidth="1"/>
    <col min="11274" max="11274" width="10.75" style="86" bestFit="1" customWidth="1"/>
    <col min="11275" max="11275" width="11" style="86" bestFit="1" customWidth="1"/>
    <col min="11276" max="11276" width="10.75" style="86" bestFit="1" customWidth="1"/>
    <col min="11277" max="11277" width="15.625" style="86"/>
    <col min="11278" max="11278" width="11.5" style="86" bestFit="1" customWidth="1"/>
    <col min="11279" max="11281" width="10.75" style="86" bestFit="1" customWidth="1"/>
    <col min="11282" max="11284" width="15.625" style="86"/>
    <col min="11285" max="11285" width="14.625" style="86" bestFit="1" customWidth="1"/>
    <col min="11286" max="11286" width="15.625" style="86"/>
    <col min="11287" max="11287" width="13.375" style="86" bestFit="1" customWidth="1"/>
    <col min="11288" max="11288" width="10.75" style="86" bestFit="1" customWidth="1"/>
    <col min="11289" max="11520" width="15.625" style="86"/>
    <col min="11521" max="11521" width="4.625" style="86" customWidth="1"/>
    <col min="11522" max="11522" width="23.625" style="86" customWidth="1"/>
    <col min="11523" max="11523" width="11.375" style="86" customWidth="1"/>
    <col min="11524" max="11524" width="10.625" style="86" customWidth="1"/>
    <col min="11525" max="11525" width="15.625" style="86"/>
    <col min="11526" max="11528" width="10.75" style="86" bestFit="1" customWidth="1"/>
    <col min="11529" max="11529" width="10.125" style="86" bestFit="1" customWidth="1"/>
    <col min="11530" max="11530" width="10.75" style="86" bestFit="1" customWidth="1"/>
    <col min="11531" max="11531" width="11" style="86" bestFit="1" customWidth="1"/>
    <col min="11532" max="11532" width="10.75" style="86" bestFit="1" customWidth="1"/>
    <col min="11533" max="11533" width="15.625" style="86"/>
    <col min="11534" max="11534" width="11.5" style="86" bestFit="1" customWidth="1"/>
    <col min="11535" max="11537" width="10.75" style="86" bestFit="1" customWidth="1"/>
    <col min="11538" max="11540" width="15.625" style="86"/>
    <col min="11541" max="11541" width="14.625" style="86" bestFit="1" customWidth="1"/>
    <col min="11542" max="11542" width="15.625" style="86"/>
    <col min="11543" max="11543" width="13.375" style="86" bestFit="1" customWidth="1"/>
    <col min="11544" max="11544" width="10.75" style="86" bestFit="1" customWidth="1"/>
    <col min="11545" max="11776" width="15.625" style="86"/>
    <col min="11777" max="11777" width="4.625" style="86" customWidth="1"/>
    <col min="11778" max="11778" width="23.625" style="86" customWidth="1"/>
    <col min="11779" max="11779" width="11.375" style="86" customWidth="1"/>
    <col min="11780" max="11780" width="10.625" style="86" customWidth="1"/>
    <col min="11781" max="11781" width="15.625" style="86"/>
    <col min="11782" max="11784" width="10.75" style="86" bestFit="1" customWidth="1"/>
    <col min="11785" max="11785" width="10.125" style="86" bestFit="1" customWidth="1"/>
    <col min="11786" max="11786" width="10.75" style="86" bestFit="1" customWidth="1"/>
    <col min="11787" max="11787" width="11" style="86" bestFit="1" customWidth="1"/>
    <col min="11788" max="11788" width="10.75" style="86" bestFit="1" customWidth="1"/>
    <col min="11789" max="11789" width="15.625" style="86"/>
    <col min="11790" max="11790" width="11.5" style="86" bestFit="1" customWidth="1"/>
    <col min="11791" max="11793" width="10.75" style="86" bestFit="1" customWidth="1"/>
    <col min="11794" max="11796" width="15.625" style="86"/>
    <col min="11797" max="11797" width="14.625" style="86" bestFit="1" customWidth="1"/>
    <col min="11798" max="11798" width="15.625" style="86"/>
    <col min="11799" max="11799" width="13.375" style="86" bestFit="1" customWidth="1"/>
    <col min="11800" max="11800" width="10.75" style="86" bestFit="1" customWidth="1"/>
    <col min="11801" max="12032" width="15.625" style="86"/>
    <col min="12033" max="12033" width="4.625" style="86" customWidth="1"/>
    <col min="12034" max="12034" width="23.625" style="86" customWidth="1"/>
    <col min="12035" max="12035" width="11.375" style="86" customWidth="1"/>
    <col min="12036" max="12036" width="10.625" style="86" customWidth="1"/>
    <col min="12037" max="12037" width="15.625" style="86"/>
    <col min="12038" max="12040" width="10.75" style="86" bestFit="1" customWidth="1"/>
    <col min="12041" max="12041" width="10.125" style="86" bestFit="1" customWidth="1"/>
    <col min="12042" max="12042" width="10.75" style="86" bestFit="1" customWidth="1"/>
    <col min="12043" max="12043" width="11" style="86" bestFit="1" customWidth="1"/>
    <col min="12044" max="12044" width="10.75" style="86" bestFit="1" customWidth="1"/>
    <col min="12045" max="12045" width="15.625" style="86"/>
    <col min="12046" max="12046" width="11.5" style="86" bestFit="1" customWidth="1"/>
    <col min="12047" max="12049" width="10.75" style="86" bestFit="1" customWidth="1"/>
    <col min="12050" max="12052" width="15.625" style="86"/>
    <col min="12053" max="12053" width="14.625" style="86" bestFit="1" customWidth="1"/>
    <col min="12054" max="12054" width="15.625" style="86"/>
    <col min="12055" max="12055" width="13.375" style="86" bestFit="1" customWidth="1"/>
    <col min="12056" max="12056" width="10.75" style="86" bestFit="1" customWidth="1"/>
    <col min="12057" max="12288" width="15.625" style="86"/>
    <col min="12289" max="12289" width="4.625" style="86" customWidth="1"/>
    <col min="12290" max="12290" width="23.625" style="86" customWidth="1"/>
    <col min="12291" max="12291" width="11.375" style="86" customWidth="1"/>
    <col min="12292" max="12292" width="10.625" style="86" customWidth="1"/>
    <col min="12293" max="12293" width="15.625" style="86"/>
    <col min="12294" max="12296" width="10.75" style="86" bestFit="1" customWidth="1"/>
    <col min="12297" max="12297" width="10.125" style="86" bestFit="1" customWidth="1"/>
    <col min="12298" max="12298" width="10.75" style="86" bestFit="1" customWidth="1"/>
    <col min="12299" max="12299" width="11" style="86" bestFit="1" customWidth="1"/>
    <col min="12300" max="12300" width="10.75" style="86" bestFit="1" customWidth="1"/>
    <col min="12301" max="12301" width="15.625" style="86"/>
    <col min="12302" max="12302" width="11.5" style="86" bestFit="1" customWidth="1"/>
    <col min="12303" max="12305" width="10.75" style="86" bestFit="1" customWidth="1"/>
    <col min="12306" max="12308" width="15.625" style="86"/>
    <col min="12309" max="12309" width="14.625" style="86" bestFit="1" customWidth="1"/>
    <col min="12310" max="12310" width="15.625" style="86"/>
    <col min="12311" max="12311" width="13.375" style="86" bestFit="1" customWidth="1"/>
    <col min="12312" max="12312" width="10.75" style="86" bestFit="1" customWidth="1"/>
    <col min="12313" max="12544" width="15.625" style="86"/>
    <col min="12545" max="12545" width="4.625" style="86" customWidth="1"/>
    <col min="12546" max="12546" width="23.625" style="86" customWidth="1"/>
    <col min="12547" max="12547" width="11.375" style="86" customWidth="1"/>
    <col min="12548" max="12548" width="10.625" style="86" customWidth="1"/>
    <col min="12549" max="12549" width="15.625" style="86"/>
    <col min="12550" max="12552" width="10.75" style="86" bestFit="1" customWidth="1"/>
    <col min="12553" max="12553" width="10.125" style="86" bestFit="1" customWidth="1"/>
    <col min="12554" max="12554" width="10.75" style="86" bestFit="1" customWidth="1"/>
    <col min="12555" max="12555" width="11" style="86" bestFit="1" customWidth="1"/>
    <col min="12556" max="12556" width="10.75" style="86" bestFit="1" customWidth="1"/>
    <col min="12557" max="12557" width="15.625" style="86"/>
    <col min="12558" max="12558" width="11.5" style="86" bestFit="1" customWidth="1"/>
    <col min="12559" max="12561" width="10.75" style="86" bestFit="1" customWidth="1"/>
    <col min="12562" max="12564" width="15.625" style="86"/>
    <col min="12565" max="12565" width="14.625" style="86" bestFit="1" customWidth="1"/>
    <col min="12566" max="12566" width="15.625" style="86"/>
    <col min="12567" max="12567" width="13.375" style="86" bestFit="1" customWidth="1"/>
    <col min="12568" max="12568" width="10.75" style="86" bestFit="1" customWidth="1"/>
    <col min="12569" max="12800" width="15.625" style="86"/>
    <col min="12801" max="12801" width="4.625" style="86" customWidth="1"/>
    <col min="12802" max="12802" width="23.625" style="86" customWidth="1"/>
    <col min="12803" max="12803" width="11.375" style="86" customWidth="1"/>
    <col min="12804" max="12804" width="10.625" style="86" customWidth="1"/>
    <col min="12805" max="12805" width="15.625" style="86"/>
    <col min="12806" max="12808" width="10.75" style="86" bestFit="1" customWidth="1"/>
    <col min="12809" max="12809" width="10.125" style="86" bestFit="1" customWidth="1"/>
    <col min="12810" max="12810" width="10.75" style="86" bestFit="1" customWidth="1"/>
    <col min="12811" max="12811" width="11" style="86" bestFit="1" customWidth="1"/>
    <col min="12812" max="12812" width="10.75" style="86" bestFit="1" customWidth="1"/>
    <col min="12813" max="12813" width="15.625" style="86"/>
    <col min="12814" max="12814" width="11.5" style="86" bestFit="1" customWidth="1"/>
    <col min="12815" max="12817" width="10.75" style="86" bestFit="1" customWidth="1"/>
    <col min="12818" max="12820" width="15.625" style="86"/>
    <col min="12821" max="12821" width="14.625" style="86" bestFit="1" customWidth="1"/>
    <col min="12822" max="12822" width="15.625" style="86"/>
    <col min="12823" max="12823" width="13.375" style="86" bestFit="1" customWidth="1"/>
    <col min="12824" max="12824" width="10.75" style="86" bestFit="1" customWidth="1"/>
    <col min="12825" max="13056" width="15.625" style="86"/>
    <col min="13057" max="13057" width="4.625" style="86" customWidth="1"/>
    <col min="13058" max="13058" width="23.625" style="86" customWidth="1"/>
    <col min="13059" max="13059" width="11.375" style="86" customWidth="1"/>
    <col min="13060" max="13060" width="10.625" style="86" customWidth="1"/>
    <col min="13061" max="13061" width="15.625" style="86"/>
    <col min="13062" max="13064" width="10.75" style="86" bestFit="1" customWidth="1"/>
    <col min="13065" max="13065" width="10.125" style="86" bestFit="1" customWidth="1"/>
    <col min="13066" max="13066" width="10.75" style="86" bestFit="1" customWidth="1"/>
    <col min="13067" max="13067" width="11" style="86" bestFit="1" customWidth="1"/>
    <col min="13068" max="13068" width="10.75" style="86" bestFit="1" customWidth="1"/>
    <col min="13069" max="13069" width="15.625" style="86"/>
    <col min="13070" max="13070" width="11.5" style="86" bestFit="1" customWidth="1"/>
    <col min="13071" max="13073" width="10.75" style="86" bestFit="1" customWidth="1"/>
    <col min="13074" max="13076" width="15.625" style="86"/>
    <col min="13077" max="13077" width="14.625" style="86" bestFit="1" customWidth="1"/>
    <col min="13078" max="13078" width="15.625" style="86"/>
    <col min="13079" max="13079" width="13.375" style="86" bestFit="1" customWidth="1"/>
    <col min="13080" max="13080" width="10.75" style="86" bestFit="1" customWidth="1"/>
    <col min="13081" max="13312" width="15.625" style="86"/>
    <col min="13313" max="13313" width="4.625" style="86" customWidth="1"/>
    <col min="13314" max="13314" width="23.625" style="86" customWidth="1"/>
    <col min="13315" max="13315" width="11.375" style="86" customWidth="1"/>
    <col min="13316" max="13316" width="10.625" style="86" customWidth="1"/>
    <col min="13317" max="13317" width="15.625" style="86"/>
    <col min="13318" max="13320" width="10.75" style="86" bestFit="1" customWidth="1"/>
    <col min="13321" max="13321" width="10.125" style="86" bestFit="1" customWidth="1"/>
    <col min="13322" max="13322" width="10.75" style="86" bestFit="1" customWidth="1"/>
    <col min="13323" max="13323" width="11" style="86" bestFit="1" customWidth="1"/>
    <col min="13324" max="13324" width="10.75" style="86" bestFit="1" customWidth="1"/>
    <col min="13325" max="13325" width="15.625" style="86"/>
    <col min="13326" max="13326" width="11.5" style="86" bestFit="1" customWidth="1"/>
    <col min="13327" max="13329" width="10.75" style="86" bestFit="1" customWidth="1"/>
    <col min="13330" max="13332" width="15.625" style="86"/>
    <col min="13333" max="13333" width="14.625" style="86" bestFit="1" customWidth="1"/>
    <col min="13334" max="13334" width="15.625" style="86"/>
    <col min="13335" max="13335" width="13.375" style="86" bestFit="1" customWidth="1"/>
    <col min="13336" max="13336" width="10.75" style="86" bestFit="1" customWidth="1"/>
    <col min="13337" max="13568" width="15.625" style="86"/>
    <col min="13569" max="13569" width="4.625" style="86" customWidth="1"/>
    <col min="13570" max="13570" width="23.625" style="86" customWidth="1"/>
    <col min="13571" max="13571" width="11.375" style="86" customWidth="1"/>
    <col min="13572" max="13572" width="10.625" style="86" customWidth="1"/>
    <col min="13573" max="13573" width="15.625" style="86"/>
    <col min="13574" max="13576" width="10.75" style="86" bestFit="1" customWidth="1"/>
    <col min="13577" max="13577" width="10.125" style="86" bestFit="1" customWidth="1"/>
    <col min="13578" max="13578" width="10.75" style="86" bestFit="1" customWidth="1"/>
    <col min="13579" max="13579" width="11" style="86" bestFit="1" customWidth="1"/>
    <col min="13580" max="13580" width="10.75" style="86" bestFit="1" customWidth="1"/>
    <col min="13581" max="13581" width="15.625" style="86"/>
    <col min="13582" max="13582" width="11.5" style="86" bestFit="1" customWidth="1"/>
    <col min="13583" max="13585" width="10.75" style="86" bestFit="1" customWidth="1"/>
    <col min="13586" max="13588" width="15.625" style="86"/>
    <col min="13589" max="13589" width="14.625" style="86" bestFit="1" customWidth="1"/>
    <col min="13590" max="13590" width="15.625" style="86"/>
    <col min="13591" max="13591" width="13.375" style="86" bestFit="1" customWidth="1"/>
    <col min="13592" max="13592" width="10.75" style="86" bestFit="1" customWidth="1"/>
    <col min="13593" max="13824" width="15.625" style="86"/>
    <col min="13825" max="13825" width="4.625" style="86" customWidth="1"/>
    <col min="13826" max="13826" width="23.625" style="86" customWidth="1"/>
    <col min="13827" max="13827" width="11.375" style="86" customWidth="1"/>
    <col min="13828" max="13828" width="10.625" style="86" customWidth="1"/>
    <col min="13829" max="13829" width="15.625" style="86"/>
    <col min="13830" max="13832" width="10.75" style="86" bestFit="1" customWidth="1"/>
    <col min="13833" max="13833" width="10.125" style="86" bestFit="1" customWidth="1"/>
    <col min="13834" max="13834" width="10.75" style="86" bestFit="1" customWidth="1"/>
    <col min="13835" max="13835" width="11" style="86" bestFit="1" customWidth="1"/>
    <col min="13836" max="13836" width="10.75" style="86" bestFit="1" customWidth="1"/>
    <col min="13837" max="13837" width="15.625" style="86"/>
    <col min="13838" max="13838" width="11.5" style="86" bestFit="1" customWidth="1"/>
    <col min="13839" max="13841" width="10.75" style="86" bestFit="1" customWidth="1"/>
    <col min="13842" max="13844" width="15.625" style="86"/>
    <col min="13845" max="13845" width="14.625" style="86" bestFit="1" customWidth="1"/>
    <col min="13846" max="13846" width="15.625" style="86"/>
    <col min="13847" max="13847" width="13.375" style="86" bestFit="1" customWidth="1"/>
    <col min="13848" max="13848" width="10.75" style="86" bestFit="1" customWidth="1"/>
    <col min="13849" max="14080" width="15.625" style="86"/>
    <col min="14081" max="14081" width="4.625" style="86" customWidth="1"/>
    <col min="14082" max="14082" width="23.625" style="86" customWidth="1"/>
    <col min="14083" max="14083" width="11.375" style="86" customWidth="1"/>
    <col min="14084" max="14084" width="10.625" style="86" customWidth="1"/>
    <col min="14085" max="14085" width="15.625" style="86"/>
    <col min="14086" max="14088" width="10.75" style="86" bestFit="1" customWidth="1"/>
    <col min="14089" max="14089" width="10.125" style="86" bestFit="1" customWidth="1"/>
    <col min="14090" max="14090" width="10.75" style="86" bestFit="1" customWidth="1"/>
    <col min="14091" max="14091" width="11" style="86" bestFit="1" customWidth="1"/>
    <col min="14092" max="14092" width="10.75" style="86" bestFit="1" customWidth="1"/>
    <col min="14093" max="14093" width="15.625" style="86"/>
    <col min="14094" max="14094" width="11.5" style="86" bestFit="1" customWidth="1"/>
    <col min="14095" max="14097" width="10.75" style="86" bestFit="1" customWidth="1"/>
    <col min="14098" max="14100" width="15.625" style="86"/>
    <col min="14101" max="14101" width="14.625" style="86" bestFit="1" customWidth="1"/>
    <col min="14102" max="14102" width="15.625" style="86"/>
    <col min="14103" max="14103" width="13.375" style="86" bestFit="1" customWidth="1"/>
    <col min="14104" max="14104" width="10.75" style="86" bestFit="1" customWidth="1"/>
    <col min="14105" max="14336" width="15.625" style="86"/>
    <col min="14337" max="14337" width="4.625" style="86" customWidth="1"/>
    <col min="14338" max="14338" width="23.625" style="86" customWidth="1"/>
    <col min="14339" max="14339" width="11.375" style="86" customWidth="1"/>
    <col min="14340" max="14340" width="10.625" style="86" customWidth="1"/>
    <col min="14341" max="14341" width="15.625" style="86"/>
    <col min="14342" max="14344" width="10.75" style="86" bestFit="1" customWidth="1"/>
    <col min="14345" max="14345" width="10.125" style="86" bestFit="1" customWidth="1"/>
    <col min="14346" max="14346" width="10.75" style="86" bestFit="1" customWidth="1"/>
    <col min="14347" max="14347" width="11" style="86" bestFit="1" customWidth="1"/>
    <col min="14348" max="14348" width="10.75" style="86" bestFit="1" customWidth="1"/>
    <col min="14349" max="14349" width="15.625" style="86"/>
    <col min="14350" max="14350" width="11.5" style="86" bestFit="1" customWidth="1"/>
    <col min="14351" max="14353" width="10.75" style="86" bestFit="1" customWidth="1"/>
    <col min="14354" max="14356" width="15.625" style="86"/>
    <col min="14357" max="14357" width="14.625" style="86" bestFit="1" customWidth="1"/>
    <col min="14358" max="14358" width="15.625" style="86"/>
    <col min="14359" max="14359" width="13.375" style="86" bestFit="1" customWidth="1"/>
    <col min="14360" max="14360" width="10.75" style="86" bestFit="1" customWidth="1"/>
    <col min="14361" max="14592" width="15.625" style="86"/>
    <col min="14593" max="14593" width="4.625" style="86" customWidth="1"/>
    <col min="14594" max="14594" width="23.625" style="86" customWidth="1"/>
    <col min="14595" max="14595" width="11.375" style="86" customWidth="1"/>
    <col min="14596" max="14596" width="10.625" style="86" customWidth="1"/>
    <col min="14597" max="14597" width="15.625" style="86"/>
    <col min="14598" max="14600" width="10.75" style="86" bestFit="1" customWidth="1"/>
    <col min="14601" max="14601" width="10.125" style="86" bestFit="1" customWidth="1"/>
    <col min="14602" max="14602" width="10.75" style="86" bestFit="1" customWidth="1"/>
    <col min="14603" max="14603" width="11" style="86" bestFit="1" customWidth="1"/>
    <col min="14604" max="14604" width="10.75" style="86" bestFit="1" customWidth="1"/>
    <col min="14605" max="14605" width="15.625" style="86"/>
    <col min="14606" max="14606" width="11.5" style="86" bestFit="1" customWidth="1"/>
    <col min="14607" max="14609" width="10.75" style="86" bestFit="1" customWidth="1"/>
    <col min="14610" max="14612" width="15.625" style="86"/>
    <col min="14613" max="14613" width="14.625" style="86" bestFit="1" customWidth="1"/>
    <col min="14614" max="14614" width="15.625" style="86"/>
    <col min="14615" max="14615" width="13.375" style="86" bestFit="1" customWidth="1"/>
    <col min="14616" max="14616" width="10.75" style="86" bestFit="1" customWidth="1"/>
    <col min="14617" max="14848" width="15.625" style="86"/>
    <col min="14849" max="14849" width="4.625" style="86" customWidth="1"/>
    <col min="14850" max="14850" width="23.625" style="86" customWidth="1"/>
    <col min="14851" max="14851" width="11.375" style="86" customWidth="1"/>
    <col min="14852" max="14852" width="10.625" style="86" customWidth="1"/>
    <col min="14853" max="14853" width="15.625" style="86"/>
    <col min="14854" max="14856" width="10.75" style="86" bestFit="1" customWidth="1"/>
    <col min="14857" max="14857" width="10.125" style="86" bestFit="1" customWidth="1"/>
    <col min="14858" max="14858" width="10.75" style="86" bestFit="1" customWidth="1"/>
    <col min="14859" max="14859" width="11" style="86" bestFit="1" customWidth="1"/>
    <col min="14860" max="14860" width="10.75" style="86" bestFit="1" customWidth="1"/>
    <col min="14861" max="14861" width="15.625" style="86"/>
    <col min="14862" max="14862" width="11.5" style="86" bestFit="1" customWidth="1"/>
    <col min="14863" max="14865" width="10.75" style="86" bestFit="1" customWidth="1"/>
    <col min="14866" max="14868" width="15.625" style="86"/>
    <col min="14869" max="14869" width="14.625" style="86" bestFit="1" customWidth="1"/>
    <col min="14870" max="14870" width="15.625" style="86"/>
    <col min="14871" max="14871" width="13.375" style="86" bestFit="1" customWidth="1"/>
    <col min="14872" max="14872" width="10.75" style="86" bestFit="1" customWidth="1"/>
    <col min="14873" max="15104" width="15.625" style="86"/>
    <col min="15105" max="15105" width="4.625" style="86" customWidth="1"/>
    <col min="15106" max="15106" width="23.625" style="86" customWidth="1"/>
    <col min="15107" max="15107" width="11.375" style="86" customWidth="1"/>
    <col min="15108" max="15108" width="10.625" style="86" customWidth="1"/>
    <col min="15109" max="15109" width="15.625" style="86"/>
    <col min="15110" max="15112" width="10.75" style="86" bestFit="1" customWidth="1"/>
    <col min="15113" max="15113" width="10.125" style="86" bestFit="1" customWidth="1"/>
    <col min="15114" max="15114" width="10.75" style="86" bestFit="1" customWidth="1"/>
    <col min="15115" max="15115" width="11" style="86" bestFit="1" customWidth="1"/>
    <col min="15116" max="15116" width="10.75" style="86" bestFit="1" customWidth="1"/>
    <col min="15117" max="15117" width="15.625" style="86"/>
    <col min="15118" max="15118" width="11.5" style="86" bestFit="1" customWidth="1"/>
    <col min="15119" max="15121" width="10.75" style="86" bestFit="1" customWidth="1"/>
    <col min="15122" max="15124" width="15.625" style="86"/>
    <col min="15125" max="15125" width="14.625" style="86" bestFit="1" customWidth="1"/>
    <col min="15126" max="15126" width="15.625" style="86"/>
    <col min="15127" max="15127" width="13.375" style="86" bestFit="1" customWidth="1"/>
    <col min="15128" max="15128" width="10.75" style="86" bestFit="1" customWidth="1"/>
    <col min="15129" max="15360" width="15.625" style="86"/>
    <col min="15361" max="15361" width="4.625" style="86" customWidth="1"/>
    <col min="15362" max="15362" width="23.625" style="86" customWidth="1"/>
    <col min="15363" max="15363" width="11.375" style="86" customWidth="1"/>
    <col min="15364" max="15364" width="10.625" style="86" customWidth="1"/>
    <col min="15365" max="15365" width="15.625" style="86"/>
    <col min="15366" max="15368" width="10.75" style="86" bestFit="1" customWidth="1"/>
    <col min="15369" max="15369" width="10.125" style="86" bestFit="1" customWidth="1"/>
    <col min="15370" max="15370" width="10.75" style="86" bestFit="1" customWidth="1"/>
    <col min="15371" max="15371" width="11" style="86" bestFit="1" customWidth="1"/>
    <col min="15372" max="15372" width="10.75" style="86" bestFit="1" customWidth="1"/>
    <col min="15373" max="15373" width="15.625" style="86"/>
    <col min="15374" max="15374" width="11.5" style="86" bestFit="1" customWidth="1"/>
    <col min="15375" max="15377" width="10.75" style="86" bestFit="1" customWidth="1"/>
    <col min="15378" max="15380" width="15.625" style="86"/>
    <col min="15381" max="15381" width="14.625" style="86" bestFit="1" customWidth="1"/>
    <col min="15382" max="15382" width="15.625" style="86"/>
    <col min="15383" max="15383" width="13.375" style="86" bestFit="1" customWidth="1"/>
    <col min="15384" max="15384" width="10.75" style="86" bestFit="1" customWidth="1"/>
    <col min="15385" max="15616" width="15.625" style="86"/>
    <col min="15617" max="15617" width="4.625" style="86" customWidth="1"/>
    <col min="15618" max="15618" width="23.625" style="86" customWidth="1"/>
    <col min="15619" max="15619" width="11.375" style="86" customWidth="1"/>
    <col min="15620" max="15620" width="10.625" style="86" customWidth="1"/>
    <col min="15621" max="15621" width="15.625" style="86"/>
    <col min="15622" max="15624" width="10.75" style="86" bestFit="1" customWidth="1"/>
    <col min="15625" max="15625" width="10.125" style="86" bestFit="1" customWidth="1"/>
    <col min="15626" max="15626" width="10.75" style="86" bestFit="1" customWidth="1"/>
    <col min="15627" max="15627" width="11" style="86" bestFit="1" customWidth="1"/>
    <col min="15628" max="15628" width="10.75" style="86" bestFit="1" customWidth="1"/>
    <col min="15629" max="15629" width="15.625" style="86"/>
    <col min="15630" max="15630" width="11.5" style="86" bestFit="1" customWidth="1"/>
    <col min="15631" max="15633" width="10.75" style="86" bestFit="1" customWidth="1"/>
    <col min="15634" max="15636" width="15.625" style="86"/>
    <col min="15637" max="15637" width="14.625" style="86" bestFit="1" customWidth="1"/>
    <col min="15638" max="15638" width="15.625" style="86"/>
    <col min="15639" max="15639" width="13.375" style="86" bestFit="1" customWidth="1"/>
    <col min="15640" max="15640" width="10.75" style="86" bestFit="1" customWidth="1"/>
    <col min="15641" max="15872" width="15.625" style="86"/>
    <col min="15873" max="15873" width="4.625" style="86" customWidth="1"/>
    <col min="15874" max="15874" width="23.625" style="86" customWidth="1"/>
    <col min="15875" max="15875" width="11.375" style="86" customWidth="1"/>
    <col min="15876" max="15876" width="10.625" style="86" customWidth="1"/>
    <col min="15877" max="15877" width="15.625" style="86"/>
    <col min="15878" max="15880" width="10.75" style="86" bestFit="1" customWidth="1"/>
    <col min="15881" max="15881" width="10.125" style="86" bestFit="1" customWidth="1"/>
    <col min="15882" max="15882" width="10.75" style="86" bestFit="1" customWidth="1"/>
    <col min="15883" max="15883" width="11" style="86" bestFit="1" customWidth="1"/>
    <col min="15884" max="15884" width="10.75" style="86" bestFit="1" customWidth="1"/>
    <col min="15885" max="15885" width="15.625" style="86"/>
    <col min="15886" max="15886" width="11.5" style="86" bestFit="1" customWidth="1"/>
    <col min="15887" max="15889" width="10.75" style="86" bestFit="1" customWidth="1"/>
    <col min="15890" max="15892" width="15.625" style="86"/>
    <col min="15893" max="15893" width="14.625" style="86" bestFit="1" customWidth="1"/>
    <col min="15894" max="15894" width="15.625" style="86"/>
    <col min="15895" max="15895" width="13.375" style="86" bestFit="1" customWidth="1"/>
    <col min="15896" max="15896" width="10.75" style="86" bestFit="1" customWidth="1"/>
    <col min="15897" max="16128" width="15.625" style="86"/>
    <col min="16129" max="16129" width="4.625" style="86" customWidth="1"/>
    <col min="16130" max="16130" width="23.625" style="86" customWidth="1"/>
    <col min="16131" max="16131" width="11.375" style="86" customWidth="1"/>
    <col min="16132" max="16132" width="10.625" style="86" customWidth="1"/>
    <col min="16133" max="16133" width="15.625" style="86"/>
    <col min="16134" max="16136" width="10.75" style="86" bestFit="1" customWidth="1"/>
    <col min="16137" max="16137" width="10.125" style="86" bestFit="1" customWidth="1"/>
    <col min="16138" max="16138" width="10.75" style="86" bestFit="1" customWidth="1"/>
    <col min="16139" max="16139" width="11" style="86" bestFit="1" customWidth="1"/>
    <col min="16140" max="16140" width="10.75" style="86" bestFit="1" customWidth="1"/>
    <col min="16141" max="16141" width="15.625" style="86"/>
    <col min="16142" max="16142" width="11.5" style="86" bestFit="1" customWidth="1"/>
    <col min="16143" max="16145" width="10.75" style="86" bestFit="1" customWidth="1"/>
    <col min="16146" max="16148" width="15.625" style="86"/>
    <col min="16149" max="16149" width="14.625" style="86" bestFit="1" customWidth="1"/>
    <col min="16150" max="16150" width="15.625" style="86"/>
    <col min="16151" max="16151" width="13.375" style="86" bestFit="1" customWidth="1"/>
    <col min="16152" max="16152" width="10.75" style="86" bestFit="1" customWidth="1"/>
    <col min="16153" max="16384" width="15.625" style="86"/>
  </cols>
  <sheetData>
    <row r="1" spans="1:25" ht="25.5">
      <c r="A1" s="347" t="s">
        <v>668</v>
      </c>
      <c r="B1" s="347"/>
      <c r="C1" s="347"/>
      <c r="D1" s="347"/>
      <c r="E1" s="347"/>
      <c r="F1" s="347"/>
      <c r="G1" s="347"/>
      <c r="H1" s="347"/>
      <c r="I1" s="347"/>
      <c r="J1" s="347"/>
      <c r="K1" s="347"/>
      <c r="L1" s="347"/>
      <c r="M1" s="347"/>
      <c r="N1" s="347"/>
      <c r="O1" s="347"/>
      <c r="P1" s="347"/>
      <c r="Q1" s="347"/>
      <c r="R1" s="347"/>
      <c r="S1" s="347"/>
      <c r="T1" s="347"/>
      <c r="U1" s="347"/>
      <c r="V1" s="347"/>
      <c r="W1" s="347"/>
      <c r="X1" s="347"/>
      <c r="Y1" s="347"/>
    </row>
    <row r="2" spans="1:25" ht="30" customHeight="1">
      <c r="A2" s="87" t="s">
        <v>1</v>
      </c>
      <c r="B2" s="87" t="s">
        <v>2</v>
      </c>
      <c r="C2" s="87" t="s">
        <v>3</v>
      </c>
      <c r="D2" s="88" t="s">
        <v>4</v>
      </c>
      <c r="E2" s="88" t="s">
        <v>495</v>
      </c>
      <c r="F2" s="88" t="s">
        <v>496</v>
      </c>
      <c r="G2" s="88" t="s">
        <v>489</v>
      </c>
      <c r="H2" s="88" t="s">
        <v>497</v>
      </c>
      <c r="I2" s="88" t="s">
        <v>498</v>
      </c>
      <c r="J2" s="88" t="s">
        <v>490</v>
      </c>
      <c r="K2" s="88" t="s">
        <v>491</v>
      </c>
      <c r="L2" s="88" t="s">
        <v>499</v>
      </c>
      <c r="M2" s="88" t="s">
        <v>492</v>
      </c>
      <c r="N2" s="88" t="s">
        <v>500</v>
      </c>
      <c r="O2" s="88" t="s">
        <v>501</v>
      </c>
      <c r="P2" s="88" t="s">
        <v>493</v>
      </c>
      <c r="Q2" s="88" t="s">
        <v>502</v>
      </c>
      <c r="R2" s="88" t="s">
        <v>503</v>
      </c>
      <c r="S2" s="88" t="s">
        <v>504</v>
      </c>
      <c r="T2" s="88" t="s">
        <v>505</v>
      </c>
      <c r="U2" s="88" t="s">
        <v>666</v>
      </c>
      <c r="V2" s="88" t="s">
        <v>494</v>
      </c>
      <c r="W2" s="88" t="s">
        <v>667</v>
      </c>
      <c r="X2" s="88" t="s">
        <v>24</v>
      </c>
      <c r="Y2" s="89" t="s">
        <v>25</v>
      </c>
    </row>
    <row r="3" spans="1:25">
      <c r="A3" s="90" t="s">
        <v>26</v>
      </c>
      <c r="B3" s="91" t="s">
        <v>27</v>
      </c>
      <c r="C3" s="91"/>
      <c r="D3" s="92" t="s">
        <v>28</v>
      </c>
      <c r="E3" s="19">
        <f t="shared" ref="E3:W3" si="0">E4+E30+E49</f>
        <v>34564579.899999999</v>
      </c>
      <c r="F3" s="19">
        <f t="shared" si="0"/>
        <v>34412576.609999999</v>
      </c>
      <c r="G3" s="19">
        <f t="shared" si="0"/>
        <v>24382613.400000002</v>
      </c>
      <c r="H3" s="19">
        <f t="shared" si="0"/>
        <v>29195033.110000003</v>
      </c>
      <c r="I3" s="19">
        <f t="shared" si="0"/>
        <v>5710762.29</v>
      </c>
      <c r="J3" s="19">
        <f t="shared" si="0"/>
        <v>40326043.690000005</v>
      </c>
      <c r="K3" s="19">
        <f t="shared" si="0"/>
        <v>32457468.310000002</v>
      </c>
      <c r="L3" s="19">
        <f t="shared" si="0"/>
        <v>19499494.169999998</v>
      </c>
      <c r="M3" s="19">
        <f t="shared" si="0"/>
        <v>36882804.640000001</v>
      </c>
      <c r="N3" s="19">
        <f t="shared" si="0"/>
        <v>24091085.559999999</v>
      </c>
      <c r="O3" s="19">
        <f t="shared" si="0"/>
        <v>21033905.73</v>
      </c>
      <c r="P3" s="19">
        <f t="shared" si="0"/>
        <v>22764507.609999999</v>
      </c>
      <c r="Q3" s="19">
        <f t="shared" si="0"/>
        <v>19552312.689999998</v>
      </c>
      <c r="R3" s="19">
        <f t="shared" si="0"/>
        <v>6731562.3700000001</v>
      </c>
      <c r="S3" s="19">
        <f t="shared" si="0"/>
        <v>8666638.1500000004</v>
      </c>
      <c r="T3" s="19">
        <f t="shared" si="0"/>
        <v>9309637.3599999994</v>
      </c>
      <c r="U3" s="19">
        <f t="shared" si="0"/>
        <v>13896350.200000001</v>
      </c>
      <c r="V3" s="19">
        <f t="shared" si="0"/>
        <v>13642883.77</v>
      </c>
      <c r="W3" s="19">
        <f t="shared" si="0"/>
        <v>2491287.5</v>
      </c>
      <c r="X3" s="19">
        <f t="shared" ref="X3:X9" si="1">SUM(E3:W3)</f>
        <v>399611547.06</v>
      </c>
      <c r="Y3" s="93"/>
    </row>
    <row r="4" spans="1:25">
      <c r="A4" s="90" t="s">
        <v>29</v>
      </c>
      <c r="B4" s="91" t="s">
        <v>30</v>
      </c>
      <c r="C4" s="91"/>
      <c r="D4" s="92" t="s">
        <v>28</v>
      </c>
      <c r="E4" s="19">
        <f t="shared" ref="E4:W4" si="2">E5+E8+E12+E15+E18+E20+E23+E25+E27+E28+E29</f>
        <v>29939370.899999999</v>
      </c>
      <c r="F4" s="19">
        <f t="shared" si="2"/>
        <v>29801544.470000003</v>
      </c>
      <c r="G4" s="19">
        <f t="shared" si="2"/>
        <v>20236578.050000001</v>
      </c>
      <c r="H4" s="19">
        <f t="shared" si="2"/>
        <v>24950530.900000002</v>
      </c>
      <c r="I4" s="19">
        <f t="shared" si="2"/>
        <v>3280423.36</v>
      </c>
      <c r="J4" s="19">
        <f t="shared" si="2"/>
        <v>33645704.730000004</v>
      </c>
      <c r="K4" s="19">
        <f t="shared" si="2"/>
        <v>27390700.030000001</v>
      </c>
      <c r="L4" s="19">
        <f t="shared" si="2"/>
        <v>16094662.76</v>
      </c>
      <c r="M4" s="19">
        <f t="shared" si="2"/>
        <v>31139498.18</v>
      </c>
      <c r="N4" s="19">
        <f t="shared" si="2"/>
        <v>20163935.84</v>
      </c>
      <c r="O4" s="19">
        <f t="shared" si="2"/>
        <v>18300491.609999999</v>
      </c>
      <c r="P4" s="19">
        <f t="shared" si="2"/>
        <v>19260811.77</v>
      </c>
      <c r="Q4" s="19">
        <f t="shared" si="2"/>
        <v>16848073.18</v>
      </c>
      <c r="R4" s="19">
        <f t="shared" si="2"/>
        <v>5572859.5099999998</v>
      </c>
      <c r="S4" s="19">
        <f t="shared" si="2"/>
        <v>7300782.4399999995</v>
      </c>
      <c r="T4" s="19">
        <f t="shared" si="2"/>
        <v>7151227.9299999997</v>
      </c>
      <c r="U4" s="19">
        <f t="shared" si="2"/>
        <v>11619054.050000001</v>
      </c>
      <c r="V4" s="19">
        <f t="shared" si="2"/>
        <v>11334334.059999999</v>
      </c>
      <c r="W4" s="19">
        <f t="shared" si="2"/>
        <v>2080748.07</v>
      </c>
      <c r="X4" s="19">
        <f t="shared" si="1"/>
        <v>336111331.84000003</v>
      </c>
      <c r="Y4" s="93"/>
    </row>
    <row r="5" spans="1:25">
      <c r="A5" s="90" t="s">
        <v>31</v>
      </c>
      <c r="B5" s="91" t="s">
        <v>32</v>
      </c>
      <c r="C5" s="91"/>
      <c r="D5" s="92" t="s">
        <v>28</v>
      </c>
      <c r="E5" s="19">
        <f>E6+E7</f>
        <v>4124616</v>
      </c>
      <c r="F5" s="19">
        <f t="shared" ref="F5:W5" si="3">F6+F7</f>
        <v>3967656</v>
      </c>
      <c r="G5" s="19">
        <f t="shared" si="3"/>
        <v>3312000</v>
      </c>
      <c r="H5" s="19">
        <f t="shared" si="3"/>
        <v>2935404</v>
      </c>
      <c r="I5" s="19">
        <f t="shared" si="3"/>
        <v>365136</v>
      </c>
      <c r="J5" s="19">
        <f t="shared" si="3"/>
        <v>4988916</v>
      </c>
      <c r="K5" s="19">
        <f t="shared" si="3"/>
        <v>3670860</v>
      </c>
      <c r="L5" s="19">
        <f t="shared" si="3"/>
        <v>1838784</v>
      </c>
      <c r="M5" s="19">
        <f t="shared" si="3"/>
        <v>3588600</v>
      </c>
      <c r="N5" s="19">
        <f t="shared" si="3"/>
        <v>2261040</v>
      </c>
      <c r="O5" s="19">
        <f t="shared" si="3"/>
        <v>2328900</v>
      </c>
      <c r="P5" s="19">
        <f t="shared" si="3"/>
        <v>2496324</v>
      </c>
      <c r="Q5" s="19">
        <f>Q6+Q7</f>
        <v>2059613.6</v>
      </c>
      <c r="R5" s="19">
        <f t="shared" si="3"/>
        <v>697283.5</v>
      </c>
      <c r="S5" s="19">
        <f t="shared" si="3"/>
        <v>959292</v>
      </c>
      <c r="T5" s="19">
        <f>T6+T7</f>
        <v>1031070</v>
      </c>
      <c r="U5" s="19">
        <f t="shared" si="3"/>
        <v>1418512</v>
      </c>
      <c r="V5" s="19">
        <f>V6+V7</f>
        <v>1419019</v>
      </c>
      <c r="W5" s="19">
        <f t="shared" si="3"/>
        <v>291264</v>
      </c>
      <c r="X5" s="19">
        <f t="shared" si="1"/>
        <v>43754290.100000001</v>
      </c>
      <c r="Y5" s="93"/>
    </row>
    <row r="6" spans="1:25" ht="22.5">
      <c r="A6" s="90" t="s">
        <v>33</v>
      </c>
      <c r="B6" s="91" t="s">
        <v>34</v>
      </c>
      <c r="C6" s="91" t="s">
        <v>35</v>
      </c>
      <c r="D6" s="92" t="s">
        <v>36</v>
      </c>
      <c r="E6" s="22">
        <f>193070*12</f>
        <v>2316840</v>
      </c>
      <c r="F6" s="22">
        <f>187663*12</f>
        <v>2251956</v>
      </c>
      <c r="G6" s="22">
        <f>2600*12*60</f>
        <v>1872000</v>
      </c>
      <c r="H6" s="22">
        <v>1928508</v>
      </c>
      <c r="I6" s="22">
        <v>306936</v>
      </c>
      <c r="J6" s="22">
        <v>2589444</v>
      </c>
      <c r="K6" s="22">
        <v>2111004</v>
      </c>
      <c r="L6" s="22">
        <v>1239312</v>
      </c>
      <c r="M6" s="22">
        <v>2301720</v>
      </c>
      <c r="N6" s="22">
        <f>125841*12</f>
        <v>1510092</v>
      </c>
      <c r="O6" s="22">
        <v>1457316</v>
      </c>
      <c r="P6" s="22">
        <f>133298*12</f>
        <v>1599576</v>
      </c>
      <c r="Q6" s="22">
        <v>1362435.5</v>
      </c>
      <c r="R6" s="22">
        <v>454922.5</v>
      </c>
      <c r="S6" s="22">
        <f>51315*12</f>
        <v>615780</v>
      </c>
      <c r="T6" s="22">
        <v>698280</v>
      </c>
      <c r="U6" s="22">
        <f>76538*12+1892*4*2</f>
        <v>933592</v>
      </c>
      <c r="V6" s="22">
        <v>901632</v>
      </c>
      <c r="W6" s="22">
        <v>143760</v>
      </c>
      <c r="X6" s="19">
        <f t="shared" si="1"/>
        <v>26595106</v>
      </c>
      <c r="Y6" s="94"/>
    </row>
    <row r="7" spans="1:25" ht="22.5">
      <c r="A7" s="90" t="s">
        <v>37</v>
      </c>
      <c r="B7" s="91" t="s">
        <v>38</v>
      </c>
      <c r="C7" s="91" t="s">
        <v>35</v>
      </c>
      <c r="D7" s="92" t="s">
        <v>89</v>
      </c>
      <c r="E7" s="22">
        <f>150648*12</f>
        <v>1807776</v>
      </c>
      <c r="F7" s="22">
        <f>142975*12</f>
        <v>1715700</v>
      </c>
      <c r="G7" s="22">
        <f>2000*12*60</f>
        <v>1440000</v>
      </c>
      <c r="H7" s="22">
        <v>1006896</v>
      </c>
      <c r="I7" s="22">
        <v>58200</v>
      </c>
      <c r="J7" s="22">
        <v>2399472</v>
      </c>
      <c r="K7" s="22">
        <v>1559856</v>
      </c>
      <c r="L7" s="22">
        <v>599472</v>
      </c>
      <c r="M7" s="22">
        <v>1286880</v>
      </c>
      <c r="N7" s="22">
        <f>62579*12</f>
        <v>750948</v>
      </c>
      <c r="O7" s="22">
        <v>871584</v>
      </c>
      <c r="P7" s="22">
        <f>74729*12</f>
        <v>896748</v>
      </c>
      <c r="Q7" s="22">
        <v>697178.1</v>
      </c>
      <c r="R7" s="22">
        <v>242361</v>
      </c>
      <c r="S7" s="22">
        <f>28626*12</f>
        <v>343512</v>
      </c>
      <c r="T7" s="22">
        <v>332790</v>
      </c>
      <c r="U7" s="22">
        <f>40010*12+600*4*2</f>
        <v>484920</v>
      </c>
      <c r="V7" s="22">
        <v>517387</v>
      </c>
      <c r="W7" s="22">
        <v>147504</v>
      </c>
      <c r="X7" s="19">
        <f t="shared" si="1"/>
        <v>17159184.100000001</v>
      </c>
      <c r="Y7" s="93"/>
    </row>
    <row r="8" spans="1:25">
      <c r="A8" s="90" t="s">
        <v>39</v>
      </c>
      <c r="B8" s="91" t="s">
        <v>40</v>
      </c>
      <c r="C8" s="91"/>
      <c r="D8" s="92" t="s">
        <v>28</v>
      </c>
      <c r="E8" s="19">
        <f>E9+E10</f>
        <v>454932</v>
      </c>
      <c r="F8" s="19">
        <f t="shared" ref="F8:W8" si="4">F9+F10</f>
        <v>448524</v>
      </c>
      <c r="G8" s="19">
        <f t="shared" si="4"/>
        <v>321840</v>
      </c>
      <c r="H8" s="19">
        <f t="shared" si="4"/>
        <v>393504</v>
      </c>
      <c r="I8" s="19">
        <f t="shared" si="4"/>
        <v>58284</v>
      </c>
      <c r="J8" s="19">
        <f t="shared" si="4"/>
        <v>539028</v>
      </c>
      <c r="K8" s="19">
        <f t="shared" si="4"/>
        <v>432048</v>
      </c>
      <c r="L8" s="19">
        <f t="shared" si="4"/>
        <v>258708</v>
      </c>
      <c r="M8" s="19">
        <f t="shared" si="4"/>
        <v>505776</v>
      </c>
      <c r="N8" s="19">
        <f t="shared" si="4"/>
        <v>323616</v>
      </c>
      <c r="O8" s="19">
        <f t="shared" si="4"/>
        <v>309168</v>
      </c>
      <c r="P8" s="19">
        <f t="shared" si="4"/>
        <v>325548</v>
      </c>
      <c r="Q8" s="19">
        <f>Q9+Q10</f>
        <v>292311.8</v>
      </c>
      <c r="R8" s="19">
        <f t="shared" si="4"/>
        <v>90600</v>
      </c>
      <c r="S8" s="19">
        <f t="shared" si="4"/>
        <v>122664</v>
      </c>
      <c r="T8" s="19">
        <f>T9+T10</f>
        <v>140091.75</v>
      </c>
      <c r="U8" s="19">
        <f t="shared" si="4"/>
        <v>201876</v>
      </c>
      <c r="V8" s="19">
        <f>V9+V10</f>
        <v>191760</v>
      </c>
      <c r="W8" s="19">
        <f t="shared" si="4"/>
        <v>31956</v>
      </c>
      <c r="X8" s="19">
        <f t="shared" si="1"/>
        <v>5442235.5499999998</v>
      </c>
      <c r="Y8" s="93"/>
    </row>
    <row r="9" spans="1:25" ht="22.5">
      <c r="A9" s="90" t="s">
        <v>41</v>
      </c>
      <c r="B9" s="91" t="s">
        <v>42</v>
      </c>
      <c r="C9" s="91" t="s">
        <v>35</v>
      </c>
      <c r="D9" s="92" t="s">
        <v>36</v>
      </c>
      <c r="E9" s="22">
        <f>511*12</f>
        <v>6132</v>
      </c>
      <c r="F9" s="22">
        <f>417*12</f>
        <v>5004</v>
      </c>
      <c r="G9" s="22">
        <f>7*60*12</f>
        <v>5040</v>
      </c>
      <c r="H9" s="22">
        <v>2784</v>
      </c>
      <c r="I9" s="22">
        <v>204</v>
      </c>
      <c r="J9" s="22">
        <v>16308</v>
      </c>
      <c r="K9" s="22">
        <v>4368</v>
      </c>
      <c r="L9" s="22">
        <f>3600+1668</f>
        <v>5268</v>
      </c>
      <c r="M9" s="22">
        <v>20016</v>
      </c>
      <c r="N9" s="22">
        <f>128*12</f>
        <v>1536</v>
      </c>
      <c r="O9" s="22">
        <v>2928</v>
      </c>
      <c r="P9" s="22">
        <f>289*12</f>
        <v>3468</v>
      </c>
      <c r="Q9" s="22">
        <v>1911.8</v>
      </c>
      <c r="R9" s="22">
        <f>70*12</f>
        <v>840</v>
      </c>
      <c r="S9" s="22">
        <f>102*12</f>
        <v>1224</v>
      </c>
      <c r="T9" s="22">
        <v>18651.75</v>
      </c>
      <c r="U9" s="22">
        <f>103*12</f>
        <v>1236</v>
      </c>
      <c r="V9" s="22">
        <v>1680</v>
      </c>
      <c r="W9" s="22">
        <v>276</v>
      </c>
      <c r="X9" s="19">
        <f t="shared" si="1"/>
        <v>98875.55</v>
      </c>
      <c r="Y9" s="93"/>
    </row>
    <row r="10" spans="1:25">
      <c r="A10" s="90" t="s">
        <v>43</v>
      </c>
      <c r="B10" s="91" t="s">
        <v>44</v>
      </c>
      <c r="C10" s="91"/>
      <c r="D10" s="92" t="s">
        <v>28</v>
      </c>
      <c r="E10" s="19">
        <f>E11</f>
        <v>448800</v>
      </c>
      <c r="F10" s="19">
        <f t="shared" ref="F10:X10" si="5">F11</f>
        <v>443520</v>
      </c>
      <c r="G10" s="19">
        <f t="shared" si="5"/>
        <v>316800</v>
      </c>
      <c r="H10" s="19">
        <f t="shared" si="5"/>
        <v>390720</v>
      </c>
      <c r="I10" s="19">
        <f>I11</f>
        <v>58080</v>
      </c>
      <c r="J10" s="19">
        <f>J11</f>
        <v>522720</v>
      </c>
      <c r="K10" s="19">
        <f>K11</f>
        <v>427680</v>
      </c>
      <c r="L10" s="19">
        <f t="shared" si="5"/>
        <v>253440</v>
      </c>
      <c r="M10" s="19">
        <f>M11</f>
        <v>485760</v>
      </c>
      <c r="N10" s="19">
        <f>N11</f>
        <v>322080</v>
      </c>
      <c r="O10" s="19">
        <f t="shared" si="5"/>
        <v>306240</v>
      </c>
      <c r="P10" s="19">
        <f t="shared" si="5"/>
        <v>322080</v>
      </c>
      <c r="Q10" s="19">
        <f>Q11</f>
        <v>290400</v>
      </c>
      <c r="R10" s="19">
        <f t="shared" si="5"/>
        <v>89760</v>
      </c>
      <c r="S10" s="19">
        <f t="shared" si="5"/>
        <v>121440</v>
      </c>
      <c r="T10" s="19">
        <f>T11</f>
        <v>121440</v>
      </c>
      <c r="U10" s="19">
        <f t="shared" si="5"/>
        <v>200640</v>
      </c>
      <c r="V10" s="19">
        <f>V11</f>
        <v>190080</v>
      </c>
      <c r="W10" s="19">
        <f t="shared" si="5"/>
        <v>31680</v>
      </c>
      <c r="X10" s="19">
        <f t="shared" si="5"/>
        <v>5343360</v>
      </c>
      <c r="Y10" s="93"/>
    </row>
    <row r="11" spans="1:25" s="96" customFormat="1">
      <c r="A11" s="90" t="s">
        <v>45</v>
      </c>
      <c r="B11" s="95" t="s">
        <v>508</v>
      </c>
      <c r="C11" s="95" t="s">
        <v>35</v>
      </c>
      <c r="D11" s="93" t="s">
        <v>28</v>
      </c>
      <c r="E11" s="19">
        <f>440*12*E93</f>
        <v>448800</v>
      </c>
      <c r="F11" s="19">
        <f t="shared" ref="F11:W11" si="6">440*12*F93</f>
        <v>443520</v>
      </c>
      <c r="G11" s="19">
        <f t="shared" si="6"/>
        <v>316800</v>
      </c>
      <c r="H11" s="19">
        <f t="shared" si="6"/>
        <v>390720</v>
      </c>
      <c r="I11" s="19">
        <f t="shared" si="6"/>
        <v>58080</v>
      </c>
      <c r="J11" s="19">
        <f t="shared" si="6"/>
        <v>522720</v>
      </c>
      <c r="K11" s="19">
        <f t="shared" si="6"/>
        <v>427680</v>
      </c>
      <c r="L11" s="19">
        <f t="shared" si="6"/>
        <v>253440</v>
      </c>
      <c r="M11" s="19">
        <f t="shared" si="6"/>
        <v>485760</v>
      </c>
      <c r="N11" s="19">
        <f t="shared" si="6"/>
        <v>322080</v>
      </c>
      <c r="O11" s="19">
        <f t="shared" si="6"/>
        <v>306240</v>
      </c>
      <c r="P11" s="19">
        <f t="shared" si="6"/>
        <v>322080</v>
      </c>
      <c r="Q11" s="19">
        <f>440*12*Q93</f>
        <v>290400</v>
      </c>
      <c r="R11" s="19">
        <f t="shared" si="6"/>
        <v>89760</v>
      </c>
      <c r="S11" s="19">
        <f t="shared" si="6"/>
        <v>121440</v>
      </c>
      <c r="T11" s="19">
        <f>440*12*T93</f>
        <v>121440</v>
      </c>
      <c r="U11" s="19">
        <f t="shared" si="6"/>
        <v>200640</v>
      </c>
      <c r="V11" s="19">
        <f>440*12*V93</f>
        <v>190080</v>
      </c>
      <c r="W11" s="19">
        <f t="shared" si="6"/>
        <v>31680</v>
      </c>
      <c r="X11" s="19">
        <f t="shared" ref="X11:X26" si="7">SUM(E11:W11)</f>
        <v>5343360</v>
      </c>
      <c r="Y11" s="93"/>
    </row>
    <row r="12" spans="1:25" ht="22.5">
      <c r="A12" s="90" t="s">
        <v>47</v>
      </c>
      <c r="B12" s="91" t="s">
        <v>48</v>
      </c>
      <c r="C12" s="91"/>
      <c r="D12" s="92" t="s">
        <v>49</v>
      </c>
      <c r="E12" s="19">
        <f>E13+E14</f>
        <v>140382.39999999999</v>
      </c>
      <c r="F12" s="19">
        <f t="shared" ref="F12:W12" si="8">F13+F14</f>
        <v>144024.47999999998</v>
      </c>
      <c r="G12" s="19">
        <f t="shared" si="8"/>
        <v>77874.05</v>
      </c>
      <c r="H12" s="19">
        <f t="shared" si="8"/>
        <v>114756.91</v>
      </c>
      <c r="I12" s="19">
        <f t="shared" si="8"/>
        <v>11223.36</v>
      </c>
      <c r="J12" s="19">
        <f t="shared" si="8"/>
        <v>140312.74</v>
      </c>
      <c r="K12" s="19">
        <f t="shared" si="8"/>
        <v>119416.03</v>
      </c>
      <c r="L12" s="19">
        <f t="shared" si="8"/>
        <v>73984.75</v>
      </c>
      <c r="M12" s="19">
        <f t="shared" si="8"/>
        <v>145354.17000000001</v>
      </c>
      <c r="N12" s="19">
        <f t="shared" si="8"/>
        <v>90609.84</v>
      </c>
      <c r="O12" s="19">
        <f t="shared" si="8"/>
        <v>84785.61</v>
      </c>
      <c r="P12" s="19">
        <f t="shared" si="8"/>
        <v>88621.78</v>
      </c>
      <c r="Q12" s="19">
        <f t="shared" si="8"/>
        <v>74579.290000000008</v>
      </c>
      <c r="R12" s="19">
        <f t="shared" si="8"/>
        <v>28026</v>
      </c>
      <c r="S12" s="19">
        <f t="shared" si="8"/>
        <v>33750.43</v>
      </c>
      <c r="T12" s="19">
        <f t="shared" si="8"/>
        <v>29848.18</v>
      </c>
      <c r="U12" s="19">
        <f t="shared" si="8"/>
        <v>51252.05</v>
      </c>
      <c r="V12" s="19">
        <f t="shared" si="8"/>
        <v>52659.07</v>
      </c>
      <c r="W12" s="19">
        <f t="shared" si="8"/>
        <v>9926.07</v>
      </c>
      <c r="X12" s="19">
        <f t="shared" si="7"/>
        <v>1511387.2100000002</v>
      </c>
      <c r="Y12" s="93"/>
    </row>
    <row r="13" spans="1:25" s="96" customFormat="1" ht="22.5">
      <c r="A13" s="90" t="s">
        <v>50</v>
      </c>
      <c r="B13" s="132" t="s">
        <v>586</v>
      </c>
      <c r="C13" s="95" t="s">
        <v>35</v>
      </c>
      <c r="D13" s="93" t="s">
        <v>51</v>
      </c>
      <c r="E13" s="19">
        <f>ROUND(E28/0.07*0.00256,2)</f>
        <v>47536.9</v>
      </c>
      <c r="F13" s="19">
        <f t="shared" ref="F13:W13" si="9">ROUND(F28/0.07*0.00256,2)</f>
        <v>48770.19</v>
      </c>
      <c r="G13" s="19">
        <f t="shared" si="9"/>
        <v>26370.05</v>
      </c>
      <c r="H13" s="19">
        <f t="shared" si="9"/>
        <v>38859.480000000003</v>
      </c>
      <c r="I13" s="19">
        <f t="shared" si="9"/>
        <v>3800.5</v>
      </c>
      <c r="J13" s="19">
        <f t="shared" si="9"/>
        <v>47513.31</v>
      </c>
      <c r="K13" s="19">
        <f t="shared" si="9"/>
        <v>40437.17</v>
      </c>
      <c r="L13" s="19">
        <f t="shared" si="9"/>
        <v>25053.040000000001</v>
      </c>
      <c r="M13" s="19">
        <f t="shared" si="9"/>
        <v>49220.46</v>
      </c>
      <c r="N13" s="19">
        <f t="shared" si="9"/>
        <v>30682.7</v>
      </c>
      <c r="O13" s="19">
        <f t="shared" si="9"/>
        <v>28710.47</v>
      </c>
      <c r="P13" s="19">
        <f t="shared" si="9"/>
        <v>30009.49</v>
      </c>
      <c r="Q13" s="19">
        <f>ROUND(Q28/0.07*0.00256,2)</f>
        <v>25254.36</v>
      </c>
      <c r="R13" s="19">
        <f t="shared" si="9"/>
        <v>9490.2900000000009</v>
      </c>
      <c r="S13" s="19">
        <f t="shared" si="9"/>
        <v>11428.72</v>
      </c>
      <c r="T13" s="19">
        <f>ROUND(T28/0.07*0.00256,2)</f>
        <v>10107.32</v>
      </c>
      <c r="U13" s="19">
        <f t="shared" si="9"/>
        <v>17355.189999999999</v>
      </c>
      <c r="V13" s="19">
        <f>ROUND(V28/0.07*0.00256,2)</f>
        <v>17831.64</v>
      </c>
      <c r="W13" s="19">
        <f t="shared" si="9"/>
        <v>3361.21</v>
      </c>
      <c r="X13" s="19">
        <f t="shared" si="7"/>
        <v>511792.49</v>
      </c>
      <c r="Y13" s="93"/>
    </row>
    <row r="14" spans="1:25" s="96" customFormat="1" ht="22.5">
      <c r="A14" s="90" t="s">
        <v>52</v>
      </c>
      <c r="B14" s="132" t="s">
        <v>587</v>
      </c>
      <c r="C14" s="95" t="s">
        <v>35</v>
      </c>
      <c r="D14" s="93" t="s">
        <v>51</v>
      </c>
      <c r="E14" s="19">
        <f>ROUND(E28/0.07*0.005,2)</f>
        <v>92845.5</v>
      </c>
      <c r="F14" s="19">
        <f t="shared" ref="F14:W14" si="10">ROUND(F28/0.07*0.005,2)</f>
        <v>95254.29</v>
      </c>
      <c r="G14" s="19">
        <f t="shared" si="10"/>
        <v>51504</v>
      </c>
      <c r="H14" s="19">
        <f t="shared" si="10"/>
        <v>75897.429999999993</v>
      </c>
      <c r="I14" s="19">
        <f t="shared" si="10"/>
        <v>7422.86</v>
      </c>
      <c r="J14" s="19">
        <f t="shared" si="10"/>
        <v>92799.43</v>
      </c>
      <c r="K14" s="19">
        <f t="shared" si="10"/>
        <v>78978.86</v>
      </c>
      <c r="L14" s="19">
        <f t="shared" si="10"/>
        <v>48931.71</v>
      </c>
      <c r="M14" s="19">
        <f t="shared" si="10"/>
        <v>96133.71</v>
      </c>
      <c r="N14" s="19">
        <f t="shared" si="10"/>
        <v>59927.14</v>
      </c>
      <c r="O14" s="19">
        <f t="shared" si="10"/>
        <v>56075.14</v>
      </c>
      <c r="P14" s="19">
        <f t="shared" si="10"/>
        <v>58612.29</v>
      </c>
      <c r="Q14" s="19">
        <f>ROUND(Q28/0.07*0.005,2)</f>
        <v>49324.93</v>
      </c>
      <c r="R14" s="19">
        <f t="shared" si="10"/>
        <v>18535.71</v>
      </c>
      <c r="S14" s="19">
        <f t="shared" si="10"/>
        <v>22321.71</v>
      </c>
      <c r="T14" s="19">
        <f>ROUND(T28/0.07*0.005,2)</f>
        <v>19740.86</v>
      </c>
      <c r="U14" s="19">
        <f t="shared" si="10"/>
        <v>33896.86</v>
      </c>
      <c r="V14" s="19">
        <f>ROUND(V28/0.07*0.005,2)</f>
        <v>34827.43</v>
      </c>
      <c r="W14" s="19">
        <f t="shared" si="10"/>
        <v>6564.86</v>
      </c>
      <c r="X14" s="19">
        <f t="shared" si="7"/>
        <v>999594.72</v>
      </c>
      <c r="Y14" s="93"/>
    </row>
    <row r="15" spans="1:25">
      <c r="A15" s="90" t="s">
        <v>53</v>
      </c>
      <c r="B15" s="91" t="s">
        <v>55</v>
      </c>
      <c r="C15" s="91"/>
      <c r="D15" s="92" t="s">
        <v>28</v>
      </c>
      <c r="E15" s="19">
        <v>16260500</v>
      </c>
      <c r="F15" s="19">
        <v>16069200</v>
      </c>
      <c r="G15" s="19">
        <v>11478000</v>
      </c>
      <c r="H15" s="19">
        <v>14156200</v>
      </c>
      <c r="I15" s="19">
        <v>2104300</v>
      </c>
      <c r="J15" s="19">
        <v>18938700</v>
      </c>
      <c r="K15" s="19">
        <v>15495300</v>
      </c>
      <c r="L15" s="19">
        <v>9182400</v>
      </c>
      <c r="M15" s="19">
        <v>17599600</v>
      </c>
      <c r="N15" s="19">
        <v>11669300</v>
      </c>
      <c r="O15" s="19">
        <v>10126800</v>
      </c>
      <c r="P15" s="19">
        <v>10650600</v>
      </c>
      <c r="Q15" s="19">
        <v>9603000</v>
      </c>
      <c r="R15" s="19">
        <v>2968200</v>
      </c>
      <c r="S15" s="19">
        <v>4015800</v>
      </c>
      <c r="T15" s="19">
        <v>4015800</v>
      </c>
      <c r="U15" s="19">
        <v>6634800</v>
      </c>
      <c r="V15" s="19">
        <v>6285600</v>
      </c>
      <c r="W15" s="19">
        <v>1114200</v>
      </c>
      <c r="X15" s="19">
        <f t="shared" si="7"/>
        <v>188368300</v>
      </c>
      <c r="Y15" s="93"/>
    </row>
    <row r="16" spans="1:25" ht="33.75">
      <c r="A16" s="90" t="s">
        <v>54</v>
      </c>
      <c r="B16" s="97" t="s">
        <v>57</v>
      </c>
      <c r="C16" s="97" t="s">
        <v>35</v>
      </c>
      <c r="D16" s="98" t="s">
        <v>58</v>
      </c>
      <c r="E16" s="99">
        <f>E15-E17</f>
        <v>15837044</v>
      </c>
      <c r="F16" s="99">
        <f t="shared" ref="F16:W16" si="11">F15-F17</f>
        <v>15869748</v>
      </c>
      <c r="G16" s="99">
        <f t="shared" si="11"/>
        <v>11478000</v>
      </c>
      <c r="H16" s="99">
        <f t="shared" si="11"/>
        <v>13958908</v>
      </c>
      <c r="I16" s="99">
        <f t="shared" si="11"/>
        <v>1934828</v>
      </c>
      <c r="J16" s="99">
        <f t="shared" si="11"/>
        <v>18441504</v>
      </c>
      <c r="K16" s="99">
        <f t="shared" si="11"/>
        <v>15282300</v>
      </c>
      <c r="L16" s="99">
        <f t="shared" si="11"/>
        <v>8942628</v>
      </c>
      <c r="M16" s="99">
        <f t="shared" si="11"/>
        <v>17357320</v>
      </c>
      <c r="N16" s="99">
        <f t="shared" si="11"/>
        <v>11471888</v>
      </c>
      <c r="O16" s="99">
        <f t="shared" si="11"/>
        <v>9920182</v>
      </c>
      <c r="P16" s="99">
        <f t="shared" si="11"/>
        <v>10455040</v>
      </c>
      <c r="Q16" s="99">
        <f t="shared" si="11"/>
        <v>9395730</v>
      </c>
      <c r="R16" s="99">
        <f t="shared" si="11"/>
        <v>2791144</v>
      </c>
      <c r="S16" s="99">
        <f t="shared" si="11"/>
        <v>3845464</v>
      </c>
      <c r="T16" s="99">
        <f t="shared" si="11"/>
        <v>3836919</v>
      </c>
      <c r="U16" s="99">
        <f t="shared" si="11"/>
        <v>6454024</v>
      </c>
      <c r="V16" s="99">
        <f t="shared" si="11"/>
        <v>6096856</v>
      </c>
      <c r="W16" s="99">
        <f t="shared" si="11"/>
        <v>1114200</v>
      </c>
      <c r="X16" s="19">
        <f t="shared" si="7"/>
        <v>184483727</v>
      </c>
      <c r="Y16" s="98"/>
    </row>
    <row r="17" spans="1:25" ht="22.5">
      <c r="A17" s="90" t="s">
        <v>56</v>
      </c>
      <c r="B17" s="97" t="s">
        <v>60</v>
      </c>
      <c r="C17" s="97" t="s">
        <v>35</v>
      </c>
      <c r="D17" s="98" t="s">
        <v>61</v>
      </c>
      <c r="E17" s="99">
        <v>423456</v>
      </c>
      <c r="F17" s="99">
        <v>199452</v>
      </c>
      <c r="G17" s="99"/>
      <c r="H17" s="99">
        <v>197292</v>
      </c>
      <c r="I17" s="99">
        <v>169472</v>
      </c>
      <c r="J17" s="99">
        <v>497196</v>
      </c>
      <c r="K17" s="99">
        <v>213000</v>
      </c>
      <c r="L17" s="99">
        <v>239772</v>
      </c>
      <c r="M17" s="99">
        <v>242280</v>
      </c>
      <c r="N17" s="99">
        <v>197412</v>
      </c>
      <c r="O17" s="99">
        <v>206618</v>
      </c>
      <c r="P17" s="99">
        <v>195560</v>
      </c>
      <c r="Q17" s="99">
        <v>207270</v>
      </c>
      <c r="R17" s="99">
        <v>177056</v>
      </c>
      <c r="S17" s="99">
        <v>170336</v>
      </c>
      <c r="T17" s="99">
        <v>178881</v>
      </c>
      <c r="U17" s="99">
        <v>180776</v>
      </c>
      <c r="V17" s="99">
        <f>102622+86122</f>
        <v>188744</v>
      </c>
      <c r="W17" s="99"/>
      <c r="X17" s="19">
        <f t="shared" si="7"/>
        <v>3884573</v>
      </c>
      <c r="Y17" s="98"/>
    </row>
    <row r="18" spans="1:25">
      <c r="A18" s="90" t="s">
        <v>59</v>
      </c>
      <c r="B18" s="91" t="s">
        <v>63</v>
      </c>
      <c r="C18" s="91"/>
      <c r="D18" s="98" t="s">
        <v>28</v>
      </c>
      <c r="E18" s="100">
        <f>E19</f>
        <v>1949755.5</v>
      </c>
      <c r="F18" s="100">
        <f t="shared" ref="F18:W18" si="12">F19</f>
        <v>2000340</v>
      </c>
      <c r="G18" s="100">
        <f t="shared" si="12"/>
        <v>1081584</v>
      </c>
      <c r="H18" s="100">
        <f t="shared" si="12"/>
        <v>1593846</v>
      </c>
      <c r="I18" s="100">
        <f t="shared" si="12"/>
        <v>155880</v>
      </c>
      <c r="J18" s="100">
        <f t="shared" si="12"/>
        <v>1948788</v>
      </c>
      <c r="K18" s="100">
        <f t="shared" si="12"/>
        <v>1658556</v>
      </c>
      <c r="L18" s="100">
        <f t="shared" si="12"/>
        <v>1027566</v>
      </c>
      <c r="M18" s="100">
        <f t="shared" si="12"/>
        <v>2018808</v>
      </c>
      <c r="N18" s="100">
        <f t="shared" si="12"/>
        <v>1258470</v>
      </c>
      <c r="O18" s="100">
        <f t="shared" si="12"/>
        <v>1177578</v>
      </c>
      <c r="P18" s="100">
        <f t="shared" si="12"/>
        <v>1230858</v>
      </c>
      <c r="Q18" s="100">
        <f>Q19</f>
        <v>1035823.5</v>
      </c>
      <c r="R18" s="100">
        <f t="shared" si="12"/>
        <v>389250</v>
      </c>
      <c r="S18" s="100">
        <f t="shared" si="12"/>
        <v>468756</v>
      </c>
      <c r="T18" s="100">
        <f>T19</f>
        <v>414558</v>
      </c>
      <c r="U18" s="100">
        <f t="shared" si="12"/>
        <v>711834</v>
      </c>
      <c r="V18" s="100">
        <f>V19</f>
        <v>731376</v>
      </c>
      <c r="W18" s="100">
        <f t="shared" si="12"/>
        <v>137862</v>
      </c>
      <c r="X18" s="19">
        <f t="shared" si="7"/>
        <v>20991489</v>
      </c>
      <c r="Y18" s="98"/>
    </row>
    <row r="19" spans="1:25">
      <c r="A19" s="90" t="s">
        <v>62</v>
      </c>
      <c r="B19" s="91" t="s">
        <v>509</v>
      </c>
      <c r="C19" s="91" t="s">
        <v>66</v>
      </c>
      <c r="D19" s="98" t="s">
        <v>28</v>
      </c>
      <c r="E19" s="100">
        <f>ROUND(E28/0.07*0.105,2)</f>
        <v>1949755.5</v>
      </c>
      <c r="F19" s="100">
        <f t="shared" ref="F19:W19" si="13">ROUND(F28/0.07*0.105,2)</f>
        <v>2000340</v>
      </c>
      <c r="G19" s="100">
        <f t="shared" si="13"/>
        <v>1081584</v>
      </c>
      <c r="H19" s="100">
        <f t="shared" si="13"/>
        <v>1593846</v>
      </c>
      <c r="I19" s="100">
        <f t="shared" si="13"/>
        <v>155880</v>
      </c>
      <c r="J19" s="100">
        <f t="shared" si="13"/>
        <v>1948788</v>
      </c>
      <c r="K19" s="100">
        <f t="shared" si="13"/>
        <v>1658556</v>
      </c>
      <c r="L19" s="100">
        <f t="shared" si="13"/>
        <v>1027566</v>
      </c>
      <c r="M19" s="100">
        <f t="shared" si="13"/>
        <v>2018808</v>
      </c>
      <c r="N19" s="100">
        <f t="shared" si="13"/>
        <v>1258470</v>
      </c>
      <c r="O19" s="100">
        <f t="shared" si="13"/>
        <v>1177578</v>
      </c>
      <c r="P19" s="100">
        <f t="shared" si="13"/>
        <v>1230858</v>
      </c>
      <c r="Q19" s="100">
        <f>ROUND(Q28/0.07*0.105,2)</f>
        <v>1035823.5</v>
      </c>
      <c r="R19" s="100">
        <f t="shared" si="13"/>
        <v>389250</v>
      </c>
      <c r="S19" s="100">
        <f t="shared" si="13"/>
        <v>468756</v>
      </c>
      <c r="T19" s="100">
        <f>ROUND(T28/0.07*0.105,2)</f>
        <v>414558</v>
      </c>
      <c r="U19" s="100">
        <f t="shared" si="13"/>
        <v>711834</v>
      </c>
      <c r="V19" s="100">
        <f>ROUND(V28/0.07*0.105,2)</f>
        <v>731376</v>
      </c>
      <c r="W19" s="100">
        <f t="shared" si="13"/>
        <v>137862</v>
      </c>
      <c r="X19" s="19">
        <f t="shared" si="7"/>
        <v>20991489</v>
      </c>
      <c r="Y19" s="98"/>
    </row>
    <row r="20" spans="1:25" ht="22.5">
      <c r="A20" s="90" t="s">
        <v>64</v>
      </c>
      <c r="B20" s="91" t="s">
        <v>68</v>
      </c>
      <c r="C20" s="91"/>
      <c r="D20" s="98" t="s">
        <v>51</v>
      </c>
      <c r="E20" s="100">
        <f>E21+E22</f>
        <v>742764</v>
      </c>
      <c r="F20" s="100">
        <f t="shared" ref="F20:W20" si="14">F21+F22</f>
        <v>762034.28</v>
      </c>
      <c r="G20" s="100">
        <f t="shared" si="14"/>
        <v>412032</v>
      </c>
      <c r="H20" s="100">
        <f t="shared" si="14"/>
        <v>607179.42000000004</v>
      </c>
      <c r="I20" s="100">
        <f t="shared" si="14"/>
        <v>59382.86</v>
      </c>
      <c r="J20" s="100">
        <f t="shared" si="14"/>
        <v>742395.42</v>
      </c>
      <c r="K20" s="100">
        <f t="shared" si="14"/>
        <v>631830.86</v>
      </c>
      <c r="L20" s="100">
        <f t="shared" si="14"/>
        <v>391453.72</v>
      </c>
      <c r="M20" s="100">
        <f t="shared" si="14"/>
        <v>769069.72</v>
      </c>
      <c r="N20" s="100">
        <f t="shared" si="14"/>
        <v>479417.14</v>
      </c>
      <c r="O20" s="100">
        <f t="shared" si="14"/>
        <v>448601.14</v>
      </c>
      <c r="P20" s="100">
        <f t="shared" si="14"/>
        <v>468898.28</v>
      </c>
      <c r="Q20" s="100">
        <f>Q21+Q22</f>
        <v>394599.42</v>
      </c>
      <c r="R20" s="100">
        <f t="shared" si="14"/>
        <v>148285.72</v>
      </c>
      <c r="S20" s="100">
        <f t="shared" si="14"/>
        <v>178573.72</v>
      </c>
      <c r="T20" s="100">
        <f>T21+T22</f>
        <v>157926.85999999999</v>
      </c>
      <c r="U20" s="100">
        <f t="shared" si="14"/>
        <v>271174.86</v>
      </c>
      <c r="V20" s="100">
        <f>V21+V22</f>
        <v>278619.42</v>
      </c>
      <c r="W20" s="100">
        <f t="shared" si="14"/>
        <v>52518.86</v>
      </c>
      <c r="X20" s="19">
        <f t="shared" si="7"/>
        <v>7996757.6999999993</v>
      </c>
      <c r="Y20" s="98"/>
    </row>
    <row r="21" spans="1:25" ht="22.5">
      <c r="A21" s="90" t="s">
        <v>67</v>
      </c>
      <c r="B21" s="91" t="s">
        <v>70</v>
      </c>
      <c r="C21" s="91" t="s">
        <v>71</v>
      </c>
      <c r="D21" s="98" t="s">
        <v>51</v>
      </c>
      <c r="E21" s="100">
        <f>ROUND(E28/0.07*0.02,2)</f>
        <v>371382</v>
      </c>
      <c r="F21" s="100">
        <f t="shared" ref="F21:W21" si="15">ROUND(F28/0.07*0.02,2)</f>
        <v>381017.14</v>
      </c>
      <c r="G21" s="100">
        <f t="shared" si="15"/>
        <v>206016</v>
      </c>
      <c r="H21" s="100">
        <f t="shared" si="15"/>
        <v>303589.71000000002</v>
      </c>
      <c r="I21" s="100">
        <f t="shared" si="15"/>
        <v>29691.43</v>
      </c>
      <c r="J21" s="100">
        <f t="shared" si="15"/>
        <v>371197.71</v>
      </c>
      <c r="K21" s="100">
        <f t="shared" si="15"/>
        <v>315915.43</v>
      </c>
      <c r="L21" s="100">
        <f t="shared" si="15"/>
        <v>195726.86</v>
      </c>
      <c r="M21" s="100">
        <f t="shared" si="15"/>
        <v>384534.86</v>
      </c>
      <c r="N21" s="100">
        <f t="shared" si="15"/>
        <v>239708.57</v>
      </c>
      <c r="O21" s="100">
        <f t="shared" si="15"/>
        <v>224300.57</v>
      </c>
      <c r="P21" s="100">
        <f t="shared" si="15"/>
        <v>234449.14</v>
      </c>
      <c r="Q21" s="100">
        <f>ROUND(Q28/0.07*0.02,2)</f>
        <v>197299.71</v>
      </c>
      <c r="R21" s="100">
        <f t="shared" si="15"/>
        <v>74142.86</v>
      </c>
      <c r="S21" s="100">
        <f t="shared" si="15"/>
        <v>89286.86</v>
      </c>
      <c r="T21" s="100">
        <f>ROUND(T28/0.07*0.02,2)</f>
        <v>78963.429999999993</v>
      </c>
      <c r="U21" s="100">
        <f t="shared" si="15"/>
        <v>135587.43</v>
      </c>
      <c r="V21" s="100">
        <f>ROUND(V28/0.07*0.02,2)</f>
        <v>139309.71</v>
      </c>
      <c r="W21" s="100">
        <f t="shared" si="15"/>
        <v>26259.43</v>
      </c>
      <c r="X21" s="19">
        <f t="shared" si="7"/>
        <v>3998378.8499999996</v>
      </c>
      <c r="Y21" s="98"/>
    </row>
    <row r="22" spans="1:25" ht="22.5">
      <c r="A22" s="90" t="s">
        <v>69</v>
      </c>
      <c r="B22" s="91" t="s">
        <v>73</v>
      </c>
      <c r="C22" s="91" t="s">
        <v>71</v>
      </c>
      <c r="D22" s="98" t="s">
        <v>51</v>
      </c>
      <c r="E22" s="100">
        <f>ROUND(E28/0.07*0.02,2)</f>
        <v>371382</v>
      </c>
      <c r="F22" s="100">
        <f t="shared" ref="F22:W22" si="16">ROUND(F28/0.07*0.02,2)</f>
        <v>381017.14</v>
      </c>
      <c r="G22" s="100">
        <f t="shared" si="16"/>
        <v>206016</v>
      </c>
      <c r="H22" s="100">
        <f t="shared" si="16"/>
        <v>303589.71000000002</v>
      </c>
      <c r="I22" s="100">
        <f t="shared" si="16"/>
        <v>29691.43</v>
      </c>
      <c r="J22" s="100">
        <f t="shared" si="16"/>
        <v>371197.71</v>
      </c>
      <c r="K22" s="100">
        <f t="shared" si="16"/>
        <v>315915.43</v>
      </c>
      <c r="L22" s="100">
        <f t="shared" si="16"/>
        <v>195726.86</v>
      </c>
      <c r="M22" s="100">
        <f t="shared" si="16"/>
        <v>384534.86</v>
      </c>
      <c r="N22" s="100">
        <f t="shared" si="16"/>
        <v>239708.57</v>
      </c>
      <c r="O22" s="100">
        <f t="shared" si="16"/>
        <v>224300.57</v>
      </c>
      <c r="P22" s="100">
        <f t="shared" si="16"/>
        <v>234449.14</v>
      </c>
      <c r="Q22" s="100">
        <f>ROUND(Q28/0.07*0.02,2)</f>
        <v>197299.71</v>
      </c>
      <c r="R22" s="100">
        <f t="shared" si="16"/>
        <v>74142.86</v>
      </c>
      <c r="S22" s="100">
        <f t="shared" si="16"/>
        <v>89286.86</v>
      </c>
      <c r="T22" s="100">
        <f>ROUND(T28/0.07*0.02,2)</f>
        <v>78963.429999999993</v>
      </c>
      <c r="U22" s="100">
        <f t="shared" si="16"/>
        <v>135587.43</v>
      </c>
      <c r="V22" s="100">
        <f>ROUND(V28/0.07*0.02,2)</f>
        <v>139309.71</v>
      </c>
      <c r="W22" s="100">
        <f t="shared" si="16"/>
        <v>26259.43</v>
      </c>
      <c r="X22" s="19">
        <f t="shared" si="7"/>
        <v>3998378.8499999996</v>
      </c>
      <c r="Y22" s="98"/>
    </row>
    <row r="23" spans="1:25">
      <c r="A23" s="90" t="s">
        <v>72</v>
      </c>
      <c r="B23" s="91" t="s">
        <v>75</v>
      </c>
      <c r="C23" s="91"/>
      <c r="D23" s="92" t="s">
        <v>28</v>
      </c>
      <c r="E23" s="19">
        <f>E24</f>
        <v>2971056</v>
      </c>
      <c r="F23" s="19">
        <f t="shared" ref="F23:W23" si="17">F24</f>
        <v>3048137.14</v>
      </c>
      <c r="G23" s="19">
        <f t="shared" si="17"/>
        <v>1648128</v>
      </c>
      <c r="H23" s="19">
        <f t="shared" si="17"/>
        <v>2428717.71</v>
      </c>
      <c r="I23" s="19">
        <f t="shared" si="17"/>
        <v>237531.43</v>
      </c>
      <c r="J23" s="19">
        <f t="shared" si="17"/>
        <v>2969581.71</v>
      </c>
      <c r="K23" s="19">
        <f t="shared" si="17"/>
        <v>2527323.4300000002</v>
      </c>
      <c r="L23" s="19">
        <f t="shared" si="17"/>
        <v>1565814.86</v>
      </c>
      <c r="M23" s="19">
        <f t="shared" si="17"/>
        <v>3076278.86</v>
      </c>
      <c r="N23" s="19">
        <f t="shared" si="17"/>
        <v>1917668.57</v>
      </c>
      <c r="O23" s="19">
        <f t="shared" si="17"/>
        <v>1794404.57</v>
      </c>
      <c r="P23" s="19">
        <f t="shared" si="17"/>
        <v>1875593.14</v>
      </c>
      <c r="Q23" s="19">
        <f>Q24</f>
        <v>1578397.71</v>
      </c>
      <c r="R23" s="19">
        <f t="shared" si="17"/>
        <v>593142.86</v>
      </c>
      <c r="S23" s="19">
        <f t="shared" si="17"/>
        <v>714294.86</v>
      </c>
      <c r="T23" s="19">
        <f>T24</f>
        <v>631707.43000000005</v>
      </c>
      <c r="U23" s="19">
        <f t="shared" si="17"/>
        <v>1084699.43</v>
      </c>
      <c r="V23" s="19">
        <f>V24</f>
        <v>1114477.71</v>
      </c>
      <c r="W23" s="19">
        <f t="shared" si="17"/>
        <v>210075.43</v>
      </c>
      <c r="X23" s="19">
        <f t="shared" si="7"/>
        <v>31987030.850000001</v>
      </c>
      <c r="Y23" s="93"/>
    </row>
    <row r="24" spans="1:25" s="96" customFormat="1" ht="22.5">
      <c r="A24" s="90" t="s">
        <v>74</v>
      </c>
      <c r="B24" s="95" t="s">
        <v>510</v>
      </c>
      <c r="C24" s="95" t="s">
        <v>78</v>
      </c>
      <c r="D24" s="93" t="s">
        <v>51</v>
      </c>
      <c r="E24" s="19">
        <f>ROUND(E28/0.07*0.16,2)</f>
        <v>2971056</v>
      </c>
      <c r="F24" s="19">
        <f t="shared" ref="F24:W24" si="18">ROUND(F28/0.07*0.16,2)</f>
        <v>3048137.14</v>
      </c>
      <c r="G24" s="19">
        <f t="shared" si="18"/>
        <v>1648128</v>
      </c>
      <c r="H24" s="19">
        <f t="shared" si="18"/>
        <v>2428717.71</v>
      </c>
      <c r="I24" s="19">
        <f t="shared" si="18"/>
        <v>237531.43</v>
      </c>
      <c r="J24" s="19">
        <f t="shared" si="18"/>
        <v>2969581.71</v>
      </c>
      <c r="K24" s="19">
        <f t="shared" si="18"/>
        <v>2527323.4300000002</v>
      </c>
      <c r="L24" s="19">
        <f t="shared" si="18"/>
        <v>1565814.86</v>
      </c>
      <c r="M24" s="19">
        <f t="shared" si="18"/>
        <v>3076278.86</v>
      </c>
      <c r="N24" s="19">
        <f t="shared" si="18"/>
        <v>1917668.57</v>
      </c>
      <c r="O24" s="19">
        <f t="shared" si="18"/>
        <v>1794404.57</v>
      </c>
      <c r="P24" s="19">
        <f t="shared" si="18"/>
        <v>1875593.14</v>
      </c>
      <c r="Q24" s="19">
        <f>ROUND(Q28/0.07*0.16,2)</f>
        <v>1578397.71</v>
      </c>
      <c r="R24" s="19">
        <f t="shared" si="18"/>
        <v>593142.86</v>
      </c>
      <c r="S24" s="19">
        <f t="shared" si="18"/>
        <v>714294.86</v>
      </c>
      <c r="T24" s="19">
        <f>ROUND(T28/0.07*0.16,2)</f>
        <v>631707.43000000005</v>
      </c>
      <c r="U24" s="19">
        <f t="shared" si="18"/>
        <v>1084699.43</v>
      </c>
      <c r="V24" s="19">
        <f>ROUND(V28/0.07*0.16,2)</f>
        <v>1114477.71</v>
      </c>
      <c r="W24" s="19">
        <f t="shared" si="18"/>
        <v>210075.43</v>
      </c>
      <c r="X24" s="19">
        <f t="shared" si="7"/>
        <v>31987030.850000001</v>
      </c>
      <c r="Y24" s="93"/>
    </row>
    <row r="25" spans="1:25">
      <c r="A25" s="90" t="s">
        <v>76</v>
      </c>
      <c r="B25" s="91" t="s">
        <v>80</v>
      </c>
      <c r="C25" s="91"/>
      <c r="D25" s="92" t="s">
        <v>28</v>
      </c>
      <c r="E25" s="19">
        <f>E26</f>
        <v>1485528</v>
      </c>
      <c r="F25" s="19">
        <f t="shared" ref="F25:W25" si="19">F26</f>
        <v>1524068.57</v>
      </c>
      <c r="G25" s="19">
        <f t="shared" si="19"/>
        <v>824064</v>
      </c>
      <c r="H25" s="19">
        <f t="shared" si="19"/>
        <v>1214358.8600000001</v>
      </c>
      <c r="I25" s="19">
        <f t="shared" si="19"/>
        <v>118765.71</v>
      </c>
      <c r="J25" s="19">
        <f t="shared" si="19"/>
        <v>1484790.86</v>
      </c>
      <c r="K25" s="19">
        <f t="shared" si="19"/>
        <v>1263661.71</v>
      </c>
      <c r="L25" s="19">
        <f t="shared" si="19"/>
        <v>782907.43</v>
      </c>
      <c r="M25" s="19">
        <f t="shared" si="19"/>
        <v>1538139.43</v>
      </c>
      <c r="N25" s="19">
        <f t="shared" si="19"/>
        <v>958834.29</v>
      </c>
      <c r="O25" s="19">
        <f t="shared" si="19"/>
        <v>897202.29</v>
      </c>
      <c r="P25" s="19">
        <f t="shared" si="19"/>
        <v>937796.57</v>
      </c>
      <c r="Q25" s="19">
        <f>Q26</f>
        <v>789198.86</v>
      </c>
      <c r="R25" s="19">
        <f t="shared" si="19"/>
        <v>296571.43</v>
      </c>
      <c r="S25" s="19">
        <f t="shared" si="19"/>
        <v>357147.43</v>
      </c>
      <c r="T25" s="19">
        <f>T26</f>
        <v>315853.71000000002</v>
      </c>
      <c r="U25" s="19">
        <f t="shared" si="19"/>
        <v>542349.71</v>
      </c>
      <c r="V25" s="19">
        <f>V26</f>
        <v>557238.86</v>
      </c>
      <c r="W25" s="19">
        <f t="shared" si="19"/>
        <v>105037.71</v>
      </c>
      <c r="X25" s="19">
        <f t="shared" si="7"/>
        <v>15993515.43</v>
      </c>
      <c r="Y25" s="93"/>
    </row>
    <row r="26" spans="1:25" s="96" customFormat="1" ht="22.5">
      <c r="A26" s="90" t="s">
        <v>79</v>
      </c>
      <c r="B26" s="95" t="s">
        <v>82</v>
      </c>
      <c r="C26" s="95" t="s">
        <v>83</v>
      </c>
      <c r="D26" s="93" t="s">
        <v>51</v>
      </c>
      <c r="E26" s="19">
        <f>ROUND(E28/0.07*0.08,2)</f>
        <v>1485528</v>
      </c>
      <c r="F26" s="19">
        <f t="shared" ref="F26:W26" si="20">ROUND(F28/0.07*0.08,2)</f>
        <v>1524068.57</v>
      </c>
      <c r="G26" s="19">
        <f t="shared" si="20"/>
        <v>824064</v>
      </c>
      <c r="H26" s="19">
        <f t="shared" si="20"/>
        <v>1214358.8600000001</v>
      </c>
      <c r="I26" s="19">
        <f t="shared" si="20"/>
        <v>118765.71</v>
      </c>
      <c r="J26" s="19">
        <f t="shared" si="20"/>
        <v>1484790.86</v>
      </c>
      <c r="K26" s="19">
        <f t="shared" si="20"/>
        <v>1263661.71</v>
      </c>
      <c r="L26" s="19">
        <f t="shared" si="20"/>
        <v>782907.43</v>
      </c>
      <c r="M26" s="19">
        <f t="shared" si="20"/>
        <v>1538139.43</v>
      </c>
      <c r="N26" s="19">
        <f t="shared" si="20"/>
        <v>958834.29</v>
      </c>
      <c r="O26" s="19">
        <f t="shared" si="20"/>
        <v>897202.29</v>
      </c>
      <c r="P26" s="19">
        <f t="shared" si="20"/>
        <v>937796.57</v>
      </c>
      <c r="Q26" s="19">
        <f>ROUND(Q28/0.07*0.08,2)</f>
        <v>789198.86</v>
      </c>
      <c r="R26" s="19">
        <f t="shared" si="20"/>
        <v>296571.43</v>
      </c>
      <c r="S26" s="19">
        <f t="shared" si="20"/>
        <v>357147.43</v>
      </c>
      <c r="T26" s="19">
        <f>ROUND(T28/0.07*0.08,2)</f>
        <v>315853.71000000002</v>
      </c>
      <c r="U26" s="19">
        <f t="shared" si="20"/>
        <v>542349.71</v>
      </c>
      <c r="V26" s="19">
        <f>ROUND(V28/0.07*0.08,2)</f>
        <v>557238.86</v>
      </c>
      <c r="W26" s="19">
        <f t="shared" si="20"/>
        <v>105037.71</v>
      </c>
      <c r="X26" s="19">
        <f t="shared" si="7"/>
        <v>15993515.43</v>
      </c>
      <c r="Y26" s="93"/>
    </row>
    <row r="27" spans="1:25" ht="33.75">
      <c r="A27" s="90" t="s">
        <v>81</v>
      </c>
      <c r="B27" s="91" t="s">
        <v>85</v>
      </c>
      <c r="C27" s="97" t="s">
        <v>35</v>
      </c>
      <c r="D27" s="93" t="s">
        <v>511</v>
      </c>
      <c r="E27" s="19">
        <f>6000*E93</f>
        <v>510000</v>
      </c>
      <c r="F27" s="19">
        <f t="shared" ref="F27:X27" si="21">6000*F93</f>
        <v>504000</v>
      </c>
      <c r="G27" s="19">
        <f t="shared" si="21"/>
        <v>360000</v>
      </c>
      <c r="H27" s="19">
        <f t="shared" si="21"/>
        <v>444000</v>
      </c>
      <c r="I27" s="19">
        <f>6000*I93</f>
        <v>66000</v>
      </c>
      <c r="J27" s="19">
        <f>6000*J93</f>
        <v>594000</v>
      </c>
      <c r="K27" s="19">
        <f>6000*K93</f>
        <v>486000</v>
      </c>
      <c r="L27" s="19">
        <f t="shared" si="21"/>
        <v>288000</v>
      </c>
      <c r="M27" s="19">
        <f>6000*M93</f>
        <v>552000</v>
      </c>
      <c r="N27" s="19">
        <f>6000*N93</f>
        <v>366000</v>
      </c>
      <c r="O27" s="19">
        <f t="shared" si="21"/>
        <v>348000</v>
      </c>
      <c r="P27" s="19">
        <f t="shared" si="21"/>
        <v>366000</v>
      </c>
      <c r="Q27" s="19">
        <f>6000*Q93</f>
        <v>330000</v>
      </c>
      <c r="R27" s="19">
        <f t="shared" si="21"/>
        <v>102000</v>
      </c>
      <c r="S27" s="19">
        <f t="shared" si="21"/>
        <v>138000</v>
      </c>
      <c r="T27" s="19">
        <f>6000*T93</f>
        <v>138000</v>
      </c>
      <c r="U27" s="19">
        <f t="shared" si="21"/>
        <v>228000</v>
      </c>
      <c r="V27" s="19">
        <f>6000*V93</f>
        <v>216000</v>
      </c>
      <c r="W27" s="19">
        <f t="shared" si="21"/>
        <v>36000</v>
      </c>
      <c r="X27" s="19">
        <f t="shared" si="21"/>
        <v>6072000</v>
      </c>
      <c r="Y27" s="93"/>
    </row>
    <row r="28" spans="1:25" ht="22.5">
      <c r="A28" s="90" t="s">
        <v>84</v>
      </c>
      <c r="B28" s="91" t="s">
        <v>88</v>
      </c>
      <c r="C28" s="91" t="s">
        <v>88</v>
      </c>
      <c r="D28" s="92" t="s">
        <v>512</v>
      </c>
      <c r="E28" s="99">
        <v>1299837</v>
      </c>
      <c r="F28" s="99">
        <f>111130*12</f>
        <v>1333560</v>
      </c>
      <c r="G28" s="99">
        <f>60088*12</f>
        <v>721056</v>
      </c>
      <c r="H28" s="99">
        <v>1062564</v>
      </c>
      <c r="I28" s="99">
        <v>103920</v>
      </c>
      <c r="J28" s="99">
        <v>1299192</v>
      </c>
      <c r="K28" s="99">
        <v>1105704</v>
      </c>
      <c r="L28" s="99">
        <v>685044</v>
      </c>
      <c r="M28" s="99">
        <v>1345872</v>
      </c>
      <c r="N28" s="99">
        <f>69915*12</f>
        <v>838980</v>
      </c>
      <c r="O28" s="99">
        <v>785052</v>
      </c>
      <c r="P28" s="99">
        <v>820572</v>
      </c>
      <c r="Q28" s="99">
        <v>690549</v>
      </c>
      <c r="R28" s="99">
        <f>21625*12</f>
        <v>259500</v>
      </c>
      <c r="S28" s="99">
        <f>26042*12</f>
        <v>312504</v>
      </c>
      <c r="T28" s="99">
        <v>276372</v>
      </c>
      <c r="U28" s="99">
        <f>39173*8+40293*4</f>
        <v>474556</v>
      </c>
      <c r="V28" s="99">
        <v>487584</v>
      </c>
      <c r="W28" s="99">
        <v>91908</v>
      </c>
      <c r="X28" s="19">
        <f t="shared" ref="X28:X57" si="22">SUM(E28:W28)</f>
        <v>13994326</v>
      </c>
      <c r="Y28" s="98"/>
    </row>
    <row r="29" spans="1:25">
      <c r="A29" s="90" t="s">
        <v>87</v>
      </c>
      <c r="B29" s="91" t="s">
        <v>513</v>
      </c>
      <c r="C29" s="91" t="s">
        <v>514</v>
      </c>
      <c r="D29" s="93" t="s">
        <v>515</v>
      </c>
      <c r="E29" s="99"/>
      <c r="F29" s="99"/>
      <c r="G29" s="99"/>
      <c r="H29" s="99"/>
      <c r="I29" s="99"/>
      <c r="J29" s="99"/>
      <c r="K29" s="99"/>
      <c r="L29" s="99"/>
      <c r="M29" s="99">
        <v>0</v>
      </c>
      <c r="N29" s="99"/>
      <c r="O29" s="99"/>
      <c r="P29" s="99"/>
      <c r="Q29" s="99"/>
      <c r="R29" s="99"/>
      <c r="S29" s="99"/>
      <c r="T29" s="99"/>
      <c r="U29" s="99"/>
      <c r="V29" s="99"/>
      <c r="W29" s="99"/>
      <c r="X29" s="19">
        <f t="shared" si="22"/>
        <v>0</v>
      </c>
      <c r="Y29" s="98"/>
    </row>
    <row r="30" spans="1:25">
      <c r="A30" s="90" t="s">
        <v>90</v>
      </c>
      <c r="B30" s="91" t="s">
        <v>95</v>
      </c>
      <c r="C30" s="91"/>
      <c r="D30" s="92" t="s">
        <v>28</v>
      </c>
      <c r="E30" s="19">
        <f>E31+E39+E42+E44</f>
        <v>7680</v>
      </c>
      <c r="F30" s="19">
        <f t="shared" ref="F30:R30" si="23">F31+F39+F42+F44</f>
        <v>8940</v>
      </c>
      <c r="G30" s="19">
        <f t="shared" si="23"/>
        <v>57600</v>
      </c>
      <c r="H30" s="19">
        <f t="shared" si="23"/>
        <v>6720</v>
      </c>
      <c r="I30" s="19">
        <f t="shared" si="23"/>
        <v>360</v>
      </c>
      <c r="J30" s="19">
        <f t="shared" si="23"/>
        <v>3480</v>
      </c>
      <c r="K30" s="19">
        <f t="shared" si="23"/>
        <v>6720</v>
      </c>
      <c r="L30" s="19">
        <f t="shared" si="23"/>
        <v>2080</v>
      </c>
      <c r="M30" s="19">
        <f t="shared" si="23"/>
        <v>15480</v>
      </c>
      <c r="N30" s="19">
        <f t="shared" si="23"/>
        <v>4320</v>
      </c>
      <c r="O30" s="19">
        <f t="shared" si="23"/>
        <v>8260</v>
      </c>
      <c r="P30" s="19">
        <f t="shared" si="23"/>
        <v>13960</v>
      </c>
      <c r="Q30" s="19">
        <f t="shared" si="23"/>
        <v>8340</v>
      </c>
      <c r="R30" s="19">
        <f t="shared" si="23"/>
        <v>3120</v>
      </c>
      <c r="S30" s="19">
        <f>S31+S39+S42+S44</f>
        <v>5760</v>
      </c>
      <c r="T30" s="19">
        <f t="shared" ref="T30" si="24">T31+T39+T42+T44</f>
        <v>3800</v>
      </c>
      <c r="U30" s="19">
        <f t="shared" ref="U30" si="25">U31+U39+U42+U44</f>
        <v>8040</v>
      </c>
      <c r="V30" s="19">
        <f t="shared" ref="V30" si="26">V31+V39+V42+V44</f>
        <v>8160</v>
      </c>
      <c r="W30" s="19">
        <f t="shared" ref="W30" si="27">W31+W39+W42+W44</f>
        <v>1320</v>
      </c>
      <c r="X30" s="19">
        <f t="shared" si="22"/>
        <v>174140</v>
      </c>
      <c r="Y30" s="93"/>
    </row>
    <row r="31" spans="1:25">
      <c r="A31" s="90" t="s">
        <v>94</v>
      </c>
      <c r="B31" s="91" t="s">
        <v>97</v>
      </c>
      <c r="C31" s="91"/>
      <c r="D31" s="92" t="s">
        <v>28</v>
      </c>
      <c r="E31" s="19">
        <f>E32+E33+E34+E35+E36+E37+E38</f>
        <v>0</v>
      </c>
      <c r="F31" s="19">
        <f t="shared" ref="F31:W31" si="28">F32+F33+F34+F35+F36+F37+F38</f>
        <v>0</v>
      </c>
      <c r="G31" s="19">
        <f t="shared" si="28"/>
        <v>0</v>
      </c>
      <c r="H31" s="19">
        <f t="shared" si="28"/>
        <v>0</v>
      </c>
      <c r="I31" s="19">
        <f t="shared" si="28"/>
        <v>0</v>
      </c>
      <c r="J31" s="19">
        <f t="shared" si="28"/>
        <v>0</v>
      </c>
      <c r="K31" s="19">
        <f t="shared" si="28"/>
        <v>0</v>
      </c>
      <c r="L31" s="19">
        <f t="shared" si="28"/>
        <v>0</v>
      </c>
      <c r="M31" s="19">
        <f t="shared" si="28"/>
        <v>0</v>
      </c>
      <c r="N31" s="19">
        <f t="shared" si="28"/>
        <v>0</v>
      </c>
      <c r="O31" s="19">
        <f t="shared" si="28"/>
        <v>0</v>
      </c>
      <c r="P31" s="19">
        <f t="shared" si="28"/>
        <v>0</v>
      </c>
      <c r="Q31" s="19">
        <f>Q32+Q33+Q34+Q35+Q36+Q37+Q38</f>
        <v>0</v>
      </c>
      <c r="R31" s="19">
        <f t="shared" si="28"/>
        <v>0</v>
      </c>
      <c r="S31" s="19">
        <f t="shared" si="28"/>
        <v>0</v>
      </c>
      <c r="T31" s="19">
        <f>T32+T33+T34+T35+T36+T37+T38</f>
        <v>0</v>
      </c>
      <c r="U31" s="19">
        <f t="shared" si="28"/>
        <v>0</v>
      </c>
      <c r="V31" s="19">
        <f>V32+V33+V34+V35+V36+V37+V38</f>
        <v>0</v>
      </c>
      <c r="W31" s="19">
        <f t="shared" si="28"/>
        <v>0</v>
      </c>
      <c r="X31" s="19">
        <f t="shared" si="22"/>
        <v>0</v>
      </c>
      <c r="Y31" s="93"/>
    </row>
    <row r="32" spans="1:25" ht="22.5">
      <c r="A32" s="90" t="s">
        <v>96</v>
      </c>
      <c r="B32" s="91" t="s">
        <v>99</v>
      </c>
      <c r="C32" s="91" t="s">
        <v>100</v>
      </c>
      <c r="D32" s="98" t="s">
        <v>101</v>
      </c>
      <c r="E32" s="99"/>
      <c r="F32" s="99"/>
      <c r="G32" s="99"/>
      <c r="H32" s="99"/>
      <c r="I32" s="99"/>
      <c r="J32" s="99"/>
      <c r="K32" s="99"/>
      <c r="L32" s="99"/>
      <c r="M32" s="99"/>
      <c r="N32" s="99"/>
      <c r="O32" s="99"/>
      <c r="P32" s="99"/>
      <c r="Q32" s="99"/>
      <c r="R32" s="99"/>
      <c r="S32" s="99"/>
      <c r="T32" s="99"/>
      <c r="U32" s="99"/>
      <c r="V32" s="99"/>
      <c r="W32" s="99"/>
      <c r="X32" s="19">
        <f t="shared" si="22"/>
        <v>0</v>
      </c>
      <c r="Y32" s="98"/>
    </row>
    <row r="33" spans="1:25" ht="22.5">
      <c r="A33" s="90" t="s">
        <v>98</v>
      </c>
      <c r="B33" s="91" t="s">
        <v>103</v>
      </c>
      <c r="C33" s="91" t="s">
        <v>100</v>
      </c>
      <c r="D33" s="98" t="s">
        <v>101</v>
      </c>
      <c r="E33" s="99"/>
      <c r="F33" s="99"/>
      <c r="G33" s="99"/>
      <c r="H33" s="99"/>
      <c r="I33" s="99"/>
      <c r="J33" s="99"/>
      <c r="K33" s="99"/>
      <c r="L33" s="99"/>
      <c r="M33" s="99"/>
      <c r="N33" s="99"/>
      <c r="O33" s="99"/>
      <c r="P33" s="99"/>
      <c r="Q33" s="99"/>
      <c r="R33" s="99"/>
      <c r="S33" s="99"/>
      <c r="T33" s="99"/>
      <c r="U33" s="99"/>
      <c r="V33" s="99"/>
      <c r="W33" s="99"/>
      <c r="X33" s="19">
        <f t="shared" si="22"/>
        <v>0</v>
      </c>
      <c r="Y33" s="98"/>
    </row>
    <row r="34" spans="1:25">
      <c r="A34" s="90" t="s">
        <v>102</v>
      </c>
      <c r="B34" s="91" t="s">
        <v>105</v>
      </c>
      <c r="C34" s="91" t="s">
        <v>100</v>
      </c>
      <c r="D34" s="98" t="s">
        <v>106</v>
      </c>
      <c r="E34" s="99"/>
      <c r="F34" s="99"/>
      <c r="G34" s="99"/>
      <c r="H34" s="99"/>
      <c r="I34" s="99"/>
      <c r="J34" s="99"/>
      <c r="K34" s="99"/>
      <c r="L34" s="99"/>
      <c r="M34" s="99"/>
      <c r="N34" s="99"/>
      <c r="O34" s="99"/>
      <c r="P34" s="99"/>
      <c r="Q34" s="99"/>
      <c r="R34" s="99"/>
      <c r="S34" s="99"/>
      <c r="T34" s="99"/>
      <c r="U34" s="99"/>
      <c r="V34" s="99"/>
      <c r="W34" s="99"/>
      <c r="X34" s="19">
        <f t="shared" si="22"/>
        <v>0</v>
      </c>
      <c r="Y34" s="98"/>
    </row>
    <row r="35" spans="1:25" ht="22.5">
      <c r="A35" s="90" t="s">
        <v>104</v>
      </c>
      <c r="B35" s="91" t="s">
        <v>108</v>
      </c>
      <c r="C35" s="91" t="s">
        <v>100</v>
      </c>
      <c r="D35" s="98" t="s">
        <v>101</v>
      </c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99"/>
      <c r="P35" s="99"/>
      <c r="Q35" s="99"/>
      <c r="R35" s="99"/>
      <c r="S35" s="99"/>
      <c r="T35" s="99"/>
      <c r="U35" s="99"/>
      <c r="V35" s="99"/>
      <c r="W35" s="99"/>
      <c r="X35" s="19">
        <f t="shared" si="22"/>
        <v>0</v>
      </c>
      <c r="Y35" s="98"/>
    </row>
    <row r="36" spans="1:25" ht="22.5">
      <c r="A36" s="90" t="s">
        <v>107</v>
      </c>
      <c r="B36" s="91" t="s">
        <v>110</v>
      </c>
      <c r="C36" s="91" t="s">
        <v>100</v>
      </c>
      <c r="D36" s="98" t="s">
        <v>101</v>
      </c>
      <c r="E36" s="99"/>
      <c r="F36" s="99"/>
      <c r="G36" s="99"/>
      <c r="H36" s="99"/>
      <c r="I36" s="99"/>
      <c r="J36" s="99"/>
      <c r="K36" s="99"/>
      <c r="L36" s="99"/>
      <c r="M36" s="99"/>
      <c r="N36" s="99"/>
      <c r="O36" s="99"/>
      <c r="P36" s="99"/>
      <c r="Q36" s="99"/>
      <c r="R36" s="99"/>
      <c r="S36" s="99"/>
      <c r="T36" s="99"/>
      <c r="U36" s="99"/>
      <c r="V36" s="99"/>
      <c r="W36" s="99"/>
      <c r="X36" s="19">
        <f t="shared" si="22"/>
        <v>0</v>
      </c>
      <c r="Y36" s="98"/>
    </row>
    <row r="37" spans="1:25" ht="22.5">
      <c r="A37" s="90" t="s">
        <v>109</v>
      </c>
      <c r="B37" s="91" t="s">
        <v>112</v>
      </c>
      <c r="C37" s="91" t="s">
        <v>100</v>
      </c>
      <c r="D37" s="98" t="s">
        <v>101</v>
      </c>
      <c r="E37" s="99"/>
      <c r="F37" s="99"/>
      <c r="G37" s="99"/>
      <c r="H37" s="99"/>
      <c r="I37" s="99"/>
      <c r="J37" s="99"/>
      <c r="K37" s="99"/>
      <c r="L37" s="99"/>
      <c r="M37" s="99"/>
      <c r="N37" s="99"/>
      <c r="O37" s="99"/>
      <c r="P37" s="99"/>
      <c r="Q37" s="99"/>
      <c r="R37" s="99"/>
      <c r="S37" s="99"/>
      <c r="T37" s="99"/>
      <c r="U37" s="99"/>
      <c r="V37" s="99"/>
      <c r="W37" s="99"/>
      <c r="X37" s="19">
        <f t="shared" si="22"/>
        <v>0</v>
      </c>
      <c r="Y37" s="98"/>
    </row>
    <row r="38" spans="1:25" ht="22.5">
      <c r="A38" s="90" t="s">
        <v>111</v>
      </c>
      <c r="B38" s="91" t="s">
        <v>114</v>
      </c>
      <c r="C38" s="91" t="s">
        <v>100</v>
      </c>
      <c r="D38" s="98" t="s">
        <v>101</v>
      </c>
      <c r="E38" s="99"/>
      <c r="F38" s="99"/>
      <c r="G38" s="99"/>
      <c r="H38" s="99"/>
      <c r="I38" s="99"/>
      <c r="J38" s="99"/>
      <c r="K38" s="99"/>
      <c r="L38" s="99"/>
      <c r="M38" s="99"/>
      <c r="N38" s="99"/>
      <c r="O38" s="99"/>
      <c r="P38" s="99"/>
      <c r="Q38" s="99"/>
      <c r="R38" s="99"/>
      <c r="S38" s="99"/>
      <c r="T38" s="99"/>
      <c r="U38" s="99"/>
      <c r="V38" s="99"/>
      <c r="W38" s="99"/>
      <c r="X38" s="19">
        <f t="shared" si="22"/>
        <v>0</v>
      </c>
      <c r="Y38" s="98"/>
    </row>
    <row r="39" spans="1:25">
      <c r="A39" s="90" t="s">
        <v>113</v>
      </c>
      <c r="B39" s="91" t="s">
        <v>119</v>
      </c>
      <c r="C39" s="91"/>
      <c r="D39" s="92" t="s">
        <v>28</v>
      </c>
      <c r="E39" s="19">
        <f>E40+E41</f>
        <v>0</v>
      </c>
      <c r="F39" s="19">
        <f t="shared" ref="F39:W39" si="29">F40+F41</f>
        <v>0</v>
      </c>
      <c r="G39" s="19">
        <f t="shared" si="29"/>
        <v>0</v>
      </c>
      <c r="H39" s="19">
        <f t="shared" si="29"/>
        <v>0</v>
      </c>
      <c r="I39" s="19">
        <f t="shared" si="29"/>
        <v>0</v>
      </c>
      <c r="J39" s="19">
        <f t="shared" si="29"/>
        <v>0</v>
      </c>
      <c r="K39" s="19">
        <f t="shared" si="29"/>
        <v>0</v>
      </c>
      <c r="L39" s="19">
        <f t="shared" si="29"/>
        <v>0</v>
      </c>
      <c r="M39" s="19">
        <f t="shared" si="29"/>
        <v>0</v>
      </c>
      <c r="N39" s="19">
        <f t="shared" si="29"/>
        <v>0</v>
      </c>
      <c r="O39" s="19">
        <f t="shared" si="29"/>
        <v>0</v>
      </c>
      <c r="P39" s="19">
        <f t="shared" si="29"/>
        <v>0</v>
      </c>
      <c r="Q39" s="19">
        <f>Q40+Q41</f>
        <v>0</v>
      </c>
      <c r="R39" s="19">
        <f t="shared" si="29"/>
        <v>0</v>
      </c>
      <c r="S39" s="19">
        <f t="shared" si="29"/>
        <v>0</v>
      </c>
      <c r="T39" s="19">
        <f>T40+T41</f>
        <v>0</v>
      </c>
      <c r="U39" s="19">
        <f t="shared" si="29"/>
        <v>0</v>
      </c>
      <c r="V39" s="19">
        <f>V40+V41</f>
        <v>0</v>
      </c>
      <c r="W39" s="19">
        <f t="shared" si="29"/>
        <v>0</v>
      </c>
      <c r="X39" s="19">
        <f t="shared" si="22"/>
        <v>0</v>
      </c>
      <c r="Y39" s="93"/>
    </row>
    <row r="40" spans="1:25" s="96" customFormat="1">
      <c r="A40" s="90" t="s">
        <v>115</v>
      </c>
      <c r="B40" s="95" t="s">
        <v>121</v>
      </c>
      <c r="C40" s="95" t="s">
        <v>35</v>
      </c>
      <c r="D40" s="93" t="s">
        <v>106</v>
      </c>
      <c r="E40" s="101"/>
      <c r="F40" s="101"/>
      <c r="G40" s="101"/>
      <c r="H40" s="101"/>
      <c r="I40" s="101"/>
      <c r="J40" s="101"/>
      <c r="K40" s="101"/>
      <c r="L40" s="101"/>
      <c r="M40" s="101"/>
      <c r="N40" s="101"/>
      <c r="O40" s="101"/>
      <c r="P40" s="101"/>
      <c r="Q40" s="101"/>
      <c r="R40" s="101"/>
      <c r="S40" s="101"/>
      <c r="T40" s="101"/>
      <c r="U40" s="101"/>
      <c r="V40" s="101"/>
      <c r="W40" s="101"/>
      <c r="X40" s="19">
        <f t="shared" si="22"/>
        <v>0</v>
      </c>
      <c r="Y40" s="93"/>
    </row>
    <row r="41" spans="1:25" s="96" customFormat="1">
      <c r="A41" s="90" t="s">
        <v>116</v>
      </c>
      <c r="B41" s="95" t="s">
        <v>123</v>
      </c>
      <c r="C41" s="95" t="s">
        <v>35</v>
      </c>
      <c r="D41" s="93" t="s">
        <v>106</v>
      </c>
      <c r="E41" s="101"/>
      <c r="F41" s="101"/>
      <c r="G41" s="101"/>
      <c r="H41" s="101"/>
      <c r="I41" s="101"/>
      <c r="J41" s="101"/>
      <c r="K41" s="101"/>
      <c r="L41" s="101"/>
      <c r="M41" s="101"/>
      <c r="N41" s="101"/>
      <c r="O41" s="101"/>
      <c r="P41" s="101"/>
      <c r="Q41" s="101"/>
      <c r="R41" s="101"/>
      <c r="S41" s="101"/>
      <c r="T41" s="101"/>
      <c r="U41" s="101"/>
      <c r="V41" s="101"/>
      <c r="W41" s="101"/>
      <c r="X41" s="19">
        <f t="shared" si="22"/>
        <v>0</v>
      </c>
      <c r="Y41" s="93"/>
    </row>
    <row r="42" spans="1:25">
      <c r="A42" s="90" t="s">
        <v>118</v>
      </c>
      <c r="B42" s="91" t="s">
        <v>125</v>
      </c>
      <c r="C42" s="91"/>
      <c r="D42" s="92" t="s">
        <v>28</v>
      </c>
      <c r="E42" s="19">
        <f>E43</f>
        <v>2880</v>
      </c>
      <c r="F42" s="19">
        <f t="shared" ref="F42:W42" si="30">F43</f>
        <v>1440</v>
      </c>
      <c r="G42" s="19">
        <f t="shared" si="30"/>
        <v>21600</v>
      </c>
      <c r="H42" s="19">
        <f t="shared" si="30"/>
        <v>720</v>
      </c>
      <c r="I42" s="19">
        <f t="shared" si="30"/>
        <v>360</v>
      </c>
      <c r="J42" s="19">
        <f t="shared" si="30"/>
        <v>1080</v>
      </c>
      <c r="K42" s="19">
        <f t="shared" si="30"/>
        <v>720</v>
      </c>
      <c r="L42" s="19">
        <f t="shared" si="30"/>
        <v>1080</v>
      </c>
      <c r="M42" s="19">
        <f t="shared" si="30"/>
        <v>6480</v>
      </c>
      <c r="N42" s="19">
        <f t="shared" si="30"/>
        <v>720</v>
      </c>
      <c r="O42" s="19">
        <f t="shared" si="30"/>
        <v>5760</v>
      </c>
      <c r="P42" s="19">
        <f t="shared" si="30"/>
        <v>3960</v>
      </c>
      <c r="Q42" s="19">
        <f>Q43</f>
        <v>3990</v>
      </c>
      <c r="R42" s="19">
        <f t="shared" si="30"/>
        <v>720</v>
      </c>
      <c r="S42" s="19">
        <f t="shared" si="30"/>
        <v>2160</v>
      </c>
      <c r="T42" s="19">
        <f>T43</f>
        <v>1800</v>
      </c>
      <c r="U42" s="19">
        <f t="shared" si="30"/>
        <v>1440</v>
      </c>
      <c r="V42" s="19">
        <f>V43</f>
        <v>2160</v>
      </c>
      <c r="W42" s="19">
        <f t="shared" si="30"/>
        <v>720</v>
      </c>
      <c r="X42" s="19">
        <f t="shared" si="22"/>
        <v>59790</v>
      </c>
      <c r="Y42" s="93"/>
    </row>
    <row r="43" spans="1:25" ht="22.5">
      <c r="A43" s="90" t="s">
        <v>120</v>
      </c>
      <c r="B43" s="91" t="s">
        <v>127</v>
      </c>
      <c r="C43" s="91" t="s">
        <v>35</v>
      </c>
      <c r="D43" s="92" t="s">
        <v>36</v>
      </c>
      <c r="E43" s="22">
        <f>240*12</f>
        <v>2880</v>
      </c>
      <c r="F43" s="22">
        <f>120*12</f>
        <v>1440</v>
      </c>
      <c r="G43" s="22">
        <f>30*12*60</f>
        <v>21600</v>
      </c>
      <c r="H43" s="22">
        <v>720</v>
      </c>
      <c r="I43" s="22">
        <v>360</v>
      </c>
      <c r="J43" s="22">
        <v>1080</v>
      </c>
      <c r="K43" s="22">
        <v>720</v>
      </c>
      <c r="L43" s="22">
        <v>1080</v>
      </c>
      <c r="M43" s="22">
        <v>6480</v>
      </c>
      <c r="N43" s="22">
        <v>720</v>
      </c>
      <c r="O43" s="22">
        <v>5760</v>
      </c>
      <c r="P43" s="22">
        <f>330*12</f>
        <v>3960</v>
      </c>
      <c r="Q43" s="22">
        <v>3990</v>
      </c>
      <c r="R43" s="22">
        <v>720</v>
      </c>
      <c r="S43" s="22">
        <f>180*12</f>
        <v>2160</v>
      </c>
      <c r="T43" s="22">
        <v>1800</v>
      </c>
      <c r="U43" s="22">
        <f>120*12</f>
        <v>1440</v>
      </c>
      <c r="V43" s="22">
        <v>2160</v>
      </c>
      <c r="W43" s="22">
        <v>720</v>
      </c>
      <c r="X43" s="19">
        <f t="shared" si="22"/>
        <v>59790</v>
      </c>
      <c r="Y43" s="93"/>
    </row>
    <row r="44" spans="1:25">
      <c r="A44" s="90" t="s">
        <v>122</v>
      </c>
      <c r="B44" s="91" t="s">
        <v>129</v>
      </c>
      <c r="C44" s="91"/>
      <c r="D44" s="92" t="s">
        <v>28</v>
      </c>
      <c r="E44" s="19">
        <f>SUM(E45:E48)</f>
        <v>4800</v>
      </c>
      <c r="F44" s="19">
        <f t="shared" ref="F44:W44" si="31">SUM(F45:F48)</f>
        <v>7500</v>
      </c>
      <c r="G44" s="19">
        <f t="shared" si="31"/>
        <v>36000</v>
      </c>
      <c r="H44" s="19">
        <f t="shared" si="31"/>
        <v>6000</v>
      </c>
      <c r="I44" s="19">
        <f t="shared" si="31"/>
        <v>0</v>
      </c>
      <c r="J44" s="19">
        <f t="shared" si="31"/>
        <v>2400</v>
      </c>
      <c r="K44" s="19">
        <f t="shared" si="31"/>
        <v>6000</v>
      </c>
      <c r="L44" s="19">
        <f t="shared" si="31"/>
        <v>1000</v>
      </c>
      <c r="M44" s="19">
        <f t="shared" si="31"/>
        <v>9000</v>
      </c>
      <c r="N44" s="19">
        <f t="shared" si="31"/>
        <v>3600</v>
      </c>
      <c r="O44" s="19">
        <f t="shared" si="31"/>
        <v>2500</v>
      </c>
      <c r="P44" s="19">
        <f t="shared" si="31"/>
        <v>10000</v>
      </c>
      <c r="Q44" s="19">
        <f>SUM(Q45:Q48)</f>
        <v>4350</v>
      </c>
      <c r="R44" s="19">
        <f t="shared" si="31"/>
        <v>2400</v>
      </c>
      <c r="S44" s="19">
        <f t="shared" si="31"/>
        <v>3600</v>
      </c>
      <c r="T44" s="19">
        <f>SUM(T45:T48)</f>
        <v>2000</v>
      </c>
      <c r="U44" s="19">
        <f t="shared" si="31"/>
        <v>6600</v>
      </c>
      <c r="V44" s="19">
        <f>SUM(V45:V48)</f>
        <v>6000</v>
      </c>
      <c r="W44" s="19">
        <f t="shared" si="31"/>
        <v>600</v>
      </c>
      <c r="X44" s="19">
        <f t="shared" si="22"/>
        <v>114350</v>
      </c>
      <c r="Y44" s="93"/>
    </row>
    <row r="45" spans="1:25">
      <c r="A45" s="90" t="s">
        <v>124</v>
      </c>
      <c r="B45" s="91" t="s">
        <v>131</v>
      </c>
      <c r="C45" s="91" t="s">
        <v>35</v>
      </c>
      <c r="D45" s="92" t="s">
        <v>132</v>
      </c>
      <c r="E45" s="22">
        <v>4800</v>
      </c>
      <c r="F45" s="22">
        <v>7500</v>
      </c>
      <c r="G45" s="22">
        <f>50*12*60</f>
        <v>36000</v>
      </c>
      <c r="H45" s="22">
        <v>6000</v>
      </c>
      <c r="I45" s="22"/>
      <c r="J45" s="22">
        <v>2400</v>
      </c>
      <c r="K45" s="22">
        <v>6000</v>
      </c>
      <c r="L45" s="22">
        <v>1000</v>
      </c>
      <c r="M45" s="22">
        <v>9000</v>
      </c>
      <c r="N45" s="22">
        <f>50*6*12</f>
        <v>3600</v>
      </c>
      <c r="O45" s="22">
        <v>2500</v>
      </c>
      <c r="P45" s="22">
        <v>10000</v>
      </c>
      <c r="Q45" s="22">
        <f>3100+5*5*50</f>
        <v>4350</v>
      </c>
      <c r="R45" s="22">
        <v>2400</v>
      </c>
      <c r="S45" s="22">
        <v>3600</v>
      </c>
      <c r="T45" s="22">
        <v>2000</v>
      </c>
      <c r="U45" s="22">
        <f>11*50*12</f>
        <v>6600</v>
      </c>
      <c r="V45" s="22">
        <v>6000</v>
      </c>
      <c r="W45" s="22">
        <v>600</v>
      </c>
      <c r="X45" s="19">
        <f t="shared" si="22"/>
        <v>114350</v>
      </c>
      <c r="Y45" s="93"/>
    </row>
    <row r="46" spans="1:25" s="96" customFormat="1">
      <c r="A46" s="90" t="s">
        <v>126</v>
      </c>
      <c r="B46" s="95" t="s">
        <v>134</v>
      </c>
      <c r="C46" s="95" t="s">
        <v>35</v>
      </c>
      <c r="D46" s="93" t="s">
        <v>135</v>
      </c>
      <c r="E46" s="101"/>
      <c r="F46" s="101"/>
      <c r="G46" s="101"/>
      <c r="H46" s="101"/>
      <c r="I46" s="101"/>
      <c r="J46" s="101"/>
      <c r="K46" s="101"/>
      <c r="L46" s="101"/>
      <c r="M46" s="101"/>
      <c r="N46" s="101"/>
      <c r="O46" s="101"/>
      <c r="P46" s="101"/>
      <c r="Q46" s="101"/>
      <c r="R46" s="101"/>
      <c r="S46" s="101"/>
      <c r="T46" s="101"/>
      <c r="U46" s="101"/>
      <c r="V46" s="101"/>
      <c r="W46" s="101"/>
      <c r="X46" s="19">
        <f t="shared" si="22"/>
        <v>0</v>
      </c>
      <c r="Y46" s="93"/>
    </row>
    <row r="47" spans="1:25" s="96" customFormat="1">
      <c r="A47" s="90" t="s">
        <v>128</v>
      </c>
      <c r="B47" s="95" t="s">
        <v>137</v>
      </c>
      <c r="C47" s="95" t="s">
        <v>35</v>
      </c>
      <c r="D47" s="93" t="s">
        <v>135</v>
      </c>
      <c r="E47" s="101"/>
      <c r="F47" s="101"/>
      <c r="G47" s="101"/>
      <c r="H47" s="101"/>
      <c r="I47" s="101"/>
      <c r="J47" s="101"/>
      <c r="K47" s="101"/>
      <c r="L47" s="101"/>
      <c r="M47" s="101"/>
      <c r="N47" s="101"/>
      <c r="O47" s="101"/>
      <c r="P47" s="101"/>
      <c r="Q47" s="101"/>
      <c r="R47" s="101"/>
      <c r="S47" s="101"/>
      <c r="T47" s="101"/>
      <c r="U47" s="101"/>
      <c r="V47" s="101"/>
      <c r="W47" s="101"/>
      <c r="X47" s="19">
        <f t="shared" si="22"/>
        <v>0</v>
      </c>
      <c r="Y47" s="93"/>
    </row>
    <row r="48" spans="1:25" ht="56.25">
      <c r="A48" s="90" t="s">
        <v>130</v>
      </c>
      <c r="B48" s="91" t="s">
        <v>139</v>
      </c>
      <c r="C48" s="91" t="s">
        <v>35</v>
      </c>
      <c r="D48" s="98" t="s">
        <v>140</v>
      </c>
      <c r="E48" s="99"/>
      <c r="F48" s="99"/>
      <c r="G48" s="99"/>
      <c r="H48" s="99"/>
      <c r="I48" s="99"/>
      <c r="J48" s="99"/>
      <c r="K48" s="99"/>
      <c r="L48" s="99"/>
      <c r="M48" s="99"/>
      <c r="N48" s="99"/>
      <c r="O48" s="99"/>
      <c r="P48" s="99"/>
      <c r="Q48" s="99"/>
      <c r="R48" s="99"/>
      <c r="S48" s="99"/>
      <c r="T48" s="99"/>
      <c r="U48" s="99"/>
      <c r="V48" s="99"/>
      <c r="W48" s="99"/>
      <c r="X48" s="19">
        <f t="shared" si="22"/>
        <v>0</v>
      </c>
      <c r="Y48" s="98"/>
    </row>
    <row r="49" spans="1:25">
      <c r="A49" s="90" t="s">
        <v>133</v>
      </c>
      <c r="B49" s="91" t="s">
        <v>142</v>
      </c>
      <c r="C49" s="91"/>
      <c r="D49" s="92" t="s">
        <v>28</v>
      </c>
      <c r="E49" s="19">
        <f>E50+E68+E70+E72+E74+E76+E78+E80+E82+E90</f>
        <v>4617529</v>
      </c>
      <c r="F49" s="19">
        <f t="shared" ref="F49:W49" si="32">F50+F68+F70+F72+F74+F76+F78+F80+F82+F90</f>
        <v>4602092.1399999997</v>
      </c>
      <c r="G49" s="19">
        <f t="shared" si="32"/>
        <v>4088435.35</v>
      </c>
      <c r="H49" s="19">
        <f t="shared" si="32"/>
        <v>4237782.21</v>
      </c>
      <c r="I49" s="19">
        <f t="shared" si="32"/>
        <v>2429978.9300000002</v>
      </c>
      <c r="J49" s="19">
        <f t="shared" si="32"/>
        <v>6676858.96</v>
      </c>
      <c r="K49" s="19">
        <f t="shared" si="32"/>
        <v>5060048.2799999993</v>
      </c>
      <c r="L49" s="19">
        <f t="shared" si="32"/>
        <v>3402751.4099999997</v>
      </c>
      <c r="M49" s="19">
        <f t="shared" si="32"/>
        <v>5727826.46</v>
      </c>
      <c r="N49" s="19">
        <f t="shared" si="32"/>
        <v>3922829.7199999997</v>
      </c>
      <c r="O49" s="19">
        <f t="shared" si="32"/>
        <v>2725154.1199999996</v>
      </c>
      <c r="P49" s="19">
        <f t="shared" si="32"/>
        <v>3489735.8400000003</v>
      </c>
      <c r="Q49" s="19">
        <f>Q50+Q68+Q70+Q72+Q74+Q76+Q78+Q80+Q82+Q90</f>
        <v>2695899.51</v>
      </c>
      <c r="R49" s="19">
        <f t="shared" si="32"/>
        <v>1155582.8600000001</v>
      </c>
      <c r="S49" s="19">
        <f t="shared" si="32"/>
        <v>1360095.7100000002</v>
      </c>
      <c r="T49" s="19">
        <f>T50+T68+T70+T72+T74+T76+T78+T80+T82+T90</f>
        <v>2154609.4300000002</v>
      </c>
      <c r="U49" s="19">
        <f t="shared" si="32"/>
        <v>2269256.15</v>
      </c>
      <c r="V49" s="19">
        <f>V50+V68+V70+V72+V74+V76+V78+V80+V82+V90</f>
        <v>2300389.71</v>
      </c>
      <c r="W49" s="19">
        <f t="shared" si="32"/>
        <v>409219.43</v>
      </c>
      <c r="X49" s="19">
        <f t="shared" si="22"/>
        <v>63326075.219999991</v>
      </c>
      <c r="Y49" s="93"/>
    </row>
    <row r="50" spans="1:25">
      <c r="A50" s="90" t="s">
        <v>136</v>
      </c>
      <c r="B50" s="91" t="s">
        <v>144</v>
      </c>
      <c r="C50" s="91"/>
      <c r="D50" s="92" t="s">
        <v>145</v>
      </c>
      <c r="E50" s="19">
        <v>3118850</v>
      </c>
      <c r="F50" s="19">
        <v>3219350</v>
      </c>
      <c r="G50" s="19">
        <v>2721260</v>
      </c>
      <c r="H50" s="19">
        <v>3279650</v>
      </c>
      <c r="I50" s="19">
        <v>2010000</v>
      </c>
      <c r="J50" s="19">
        <v>4818210</v>
      </c>
      <c r="K50" s="19">
        <v>3511740</v>
      </c>
      <c r="L50" s="19">
        <v>2609730</v>
      </c>
      <c r="M50" s="19">
        <v>4423380</v>
      </c>
      <c r="N50" s="19">
        <v>3116910</v>
      </c>
      <c r="O50" s="19">
        <v>1916200</v>
      </c>
      <c r="P50" s="19">
        <v>2605460</v>
      </c>
      <c r="Q50" s="19">
        <v>2016300</v>
      </c>
      <c r="R50" s="19">
        <v>858000</v>
      </c>
      <c r="S50" s="19">
        <v>1023880</v>
      </c>
      <c r="T50" s="19">
        <v>1716000</v>
      </c>
      <c r="U50" s="19">
        <v>1716000</v>
      </c>
      <c r="V50" s="19">
        <v>1716000</v>
      </c>
      <c r="W50" s="19">
        <v>134400</v>
      </c>
      <c r="X50" s="19">
        <f t="shared" si="22"/>
        <v>46531320</v>
      </c>
      <c r="Y50" s="93"/>
    </row>
    <row r="51" spans="1:25">
      <c r="A51" s="90" t="s">
        <v>138</v>
      </c>
      <c r="B51" s="91" t="s">
        <v>147</v>
      </c>
      <c r="C51" s="91" t="s">
        <v>35</v>
      </c>
      <c r="D51" s="10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  <c r="T51" s="22"/>
      <c r="U51" s="22"/>
      <c r="V51" s="22"/>
      <c r="W51" s="22"/>
      <c r="X51" s="19">
        <f t="shared" si="22"/>
        <v>0</v>
      </c>
      <c r="Y51" s="93"/>
    </row>
    <row r="52" spans="1:25">
      <c r="A52" s="90" t="s">
        <v>141</v>
      </c>
      <c r="B52" s="91" t="s">
        <v>149</v>
      </c>
      <c r="C52" s="91" t="s">
        <v>35</v>
      </c>
      <c r="D52" s="10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22"/>
      <c r="U52" s="22"/>
      <c r="V52" s="22"/>
      <c r="W52" s="22"/>
      <c r="X52" s="19">
        <f t="shared" si="22"/>
        <v>0</v>
      </c>
      <c r="Y52" s="93"/>
    </row>
    <row r="53" spans="1:25">
      <c r="A53" s="90" t="s">
        <v>143</v>
      </c>
      <c r="B53" s="91" t="s">
        <v>151</v>
      </c>
      <c r="C53" s="91" t="s">
        <v>35</v>
      </c>
      <c r="D53" s="102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2"/>
      <c r="R53" s="22"/>
      <c r="S53" s="22"/>
      <c r="T53" s="22"/>
      <c r="U53" s="22"/>
      <c r="V53" s="22"/>
      <c r="W53" s="22"/>
      <c r="X53" s="19">
        <f t="shared" si="22"/>
        <v>0</v>
      </c>
      <c r="Y53" s="93"/>
    </row>
    <row r="54" spans="1:25">
      <c r="A54" s="90" t="s">
        <v>146</v>
      </c>
      <c r="B54" s="91" t="s">
        <v>153</v>
      </c>
      <c r="C54" s="91" t="s">
        <v>35</v>
      </c>
      <c r="D54" s="102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22"/>
      <c r="P54" s="22"/>
      <c r="Q54" s="22"/>
      <c r="R54" s="22"/>
      <c r="S54" s="22"/>
      <c r="T54" s="22"/>
      <c r="U54" s="22"/>
      <c r="V54" s="22"/>
      <c r="W54" s="22"/>
      <c r="X54" s="19">
        <f t="shared" si="22"/>
        <v>0</v>
      </c>
      <c r="Y54" s="93"/>
    </row>
    <row r="55" spans="1:25">
      <c r="A55" s="90" t="s">
        <v>148</v>
      </c>
      <c r="B55" s="91" t="s">
        <v>155</v>
      </c>
      <c r="C55" s="91" t="s">
        <v>35</v>
      </c>
      <c r="D55" s="102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22"/>
      <c r="P55" s="22"/>
      <c r="Q55" s="22"/>
      <c r="R55" s="22"/>
      <c r="S55" s="22"/>
      <c r="T55" s="22"/>
      <c r="U55" s="22"/>
      <c r="V55" s="22"/>
      <c r="W55" s="22"/>
      <c r="X55" s="19">
        <f t="shared" si="22"/>
        <v>0</v>
      </c>
      <c r="Y55" s="93"/>
    </row>
    <row r="56" spans="1:25">
      <c r="A56" s="90" t="s">
        <v>150</v>
      </c>
      <c r="B56" s="91" t="s">
        <v>157</v>
      </c>
      <c r="C56" s="91" t="s">
        <v>35</v>
      </c>
      <c r="D56" s="102"/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22"/>
      <c r="P56" s="22"/>
      <c r="Q56" s="22"/>
      <c r="R56" s="22"/>
      <c r="S56" s="22"/>
      <c r="T56" s="22"/>
      <c r="U56" s="22"/>
      <c r="V56" s="22"/>
      <c r="W56" s="22"/>
      <c r="X56" s="19">
        <f t="shared" si="22"/>
        <v>0</v>
      </c>
      <c r="Y56" s="93"/>
    </row>
    <row r="57" spans="1:25">
      <c r="A57" s="90" t="s">
        <v>152</v>
      </c>
      <c r="B57" s="91" t="s">
        <v>159</v>
      </c>
      <c r="C57" s="91" t="s">
        <v>35</v>
      </c>
      <c r="D57" s="10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22"/>
      <c r="P57" s="22"/>
      <c r="Q57" s="22"/>
      <c r="R57" s="22"/>
      <c r="S57" s="22"/>
      <c r="T57" s="22"/>
      <c r="U57" s="22"/>
      <c r="V57" s="22"/>
      <c r="W57" s="22"/>
      <c r="X57" s="19">
        <f t="shared" si="22"/>
        <v>0</v>
      </c>
      <c r="Y57" s="93"/>
    </row>
    <row r="58" spans="1:25">
      <c r="A58" s="90" t="s">
        <v>154</v>
      </c>
      <c r="B58" s="91" t="s">
        <v>161</v>
      </c>
      <c r="C58" s="91" t="s">
        <v>35</v>
      </c>
      <c r="D58" s="10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22"/>
      <c r="P58" s="22"/>
      <c r="Q58" s="22"/>
      <c r="R58" s="22"/>
      <c r="S58" s="22"/>
      <c r="T58" s="22"/>
      <c r="U58" s="22"/>
      <c r="V58" s="22"/>
      <c r="W58" s="22"/>
      <c r="X58" s="19">
        <f t="shared" ref="X58:X89" si="33">SUM(E58:W58)</f>
        <v>0</v>
      </c>
      <c r="Y58" s="93"/>
    </row>
    <row r="59" spans="1:25">
      <c r="A59" s="90" t="s">
        <v>156</v>
      </c>
      <c r="B59" s="91" t="s">
        <v>163</v>
      </c>
      <c r="C59" s="91" t="s">
        <v>35</v>
      </c>
      <c r="D59" s="10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22"/>
      <c r="P59" s="22"/>
      <c r="Q59" s="22">
        <v>0</v>
      </c>
      <c r="R59" s="22"/>
      <c r="S59" s="22"/>
      <c r="T59" s="22"/>
      <c r="U59" s="22"/>
      <c r="V59" s="22"/>
      <c r="W59" s="22"/>
      <c r="X59" s="19">
        <f t="shared" si="33"/>
        <v>0</v>
      </c>
      <c r="Y59" s="93"/>
    </row>
    <row r="60" spans="1:25">
      <c r="A60" s="90" t="s">
        <v>158</v>
      </c>
      <c r="B60" s="91" t="s">
        <v>516</v>
      </c>
      <c r="C60" s="91" t="s">
        <v>517</v>
      </c>
      <c r="D60" s="102" t="s">
        <v>518</v>
      </c>
      <c r="E60" s="22">
        <v>155942.5</v>
      </c>
      <c r="F60" s="22">
        <v>160967.5</v>
      </c>
      <c r="G60" s="22">
        <v>136063</v>
      </c>
      <c r="H60" s="22">
        <v>163982.5</v>
      </c>
      <c r="I60" s="22">
        <v>24120</v>
      </c>
      <c r="J60" s="22">
        <v>239626.5</v>
      </c>
      <c r="K60" s="22">
        <v>175587</v>
      </c>
      <c r="L60" s="22">
        <v>130486.5</v>
      </c>
      <c r="M60" s="22">
        <v>221169</v>
      </c>
      <c r="N60" s="22">
        <v>155845.5</v>
      </c>
      <c r="O60" s="22">
        <v>95810</v>
      </c>
      <c r="P60" s="22">
        <v>130273</v>
      </c>
      <c r="Q60" s="22">
        <v>100815</v>
      </c>
      <c r="R60" s="22">
        <v>29315</v>
      </c>
      <c r="S60" s="22">
        <v>51194</v>
      </c>
      <c r="T60" s="22">
        <v>52481</v>
      </c>
      <c r="U60" s="22">
        <v>68354</v>
      </c>
      <c r="V60" s="22">
        <v>78793</v>
      </c>
      <c r="W60" s="22">
        <v>6720</v>
      </c>
      <c r="X60" s="19">
        <f t="shared" si="33"/>
        <v>2177545</v>
      </c>
      <c r="Y60" s="93"/>
    </row>
    <row r="61" spans="1:25">
      <c r="A61" s="90" t="s">
        <v>160</v>
      </c>
      <c r="B61" s="91" t="s">
        <v>169</v>
      </c>
      <c r="C61" s="91" t="s">
        <v>35</v>
      </c>
      <c r="D61" s="10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22"/>
      <c r="P61" s="22"/>
      <c r="Q61" s="22"/>
      <c r="R61" s="22"/>
      <c r="S61" s="22"/>
      <c r="T61" s="22"/>
      <c r="U61" s="22"/>
      <c r="V61" s="22"/>
      <c r="W61" s="22"/>
      <c r="X61" s="19">
        <f t="shared" si="33"/>
        <v>0</v>
      </c>
      <c r="Y61" s="93"/>
    </row>
    <row r="62" spans="1:25">
      <c r="A62" s="90" t="s">
        <v>162</v>
      </c>
      <c r="B62" s="91" t="s">
        <v>171</v>
      </c>
      <c r="C62" s="91" t="s">
        <v>35</v>
      </c>
      <c r="D62" s="10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22"/>
      <c r="P62" s="22"/>
      <c r="Q62" s="22"/>
      <c r="R62" s="22"/>
      <c r="S62" s="22"/>
      <c r="T62" s="22"/>
      <c r="U62" s="22"/>
      <c r="V62" s="22"/>
      <c r="W62" s="22"/>
      <c r="X62" s="19">
        <f t="shared" si="33"/>
        <v>0</v>
      </c>
      <c r="Y62" s="93"/>
    </row>
    <row r="63" spans="1:25">
      <c r="A63" s="90" t="s">
        <v>164</v>
      </c>
      <c r="B63" s="91" t="s">
        <v>173</v>
      </c>
      <c r="C63" s="91" t="s">
        <v>35</v>
      </c>
      <c r="D63" s="102"/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22"/>
      <c r="P63" s="22"/>
      <c r="Q63" s="22"/>
      <c r="R63" s="22"/>
      <c r="S63" s="22"/>
      <c r="T63" s="22"/>
      <c r="U63" s="22"/>
      <c r="V63" s="22"/>
      <c r="W63" s="22"/>
      <c r="X63" s="19">
        <f t="shared" si="33"/>
        <v>0</v>
      </c>
      <c r="Y63" s="93"/>
    </row>
    <row r="64" spans="1:25">
      <c r="A64" s="90" t="s">
        <v>168</v>
      </c>
      <c r="B64" s="91" t="s">
        <v>175</v>
      </c>
      <c r="C64" s="91" t="s">
        <v>35</v>
      </c>
      <c r="D64" s="10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22"/>
      <c r="P64" s="22"/>
      <c r="Q64" s="22"/>
      <c r="R64" s="22"/>
      <c r="S64" s="22"/>
      <c r="T64" s="22"/>
      <c r="U64" s="22"/>
      <c r="V64" s="22"/>
      <c r="W64" s="22"/>
      <c r="X64" s="19">
        <f t="shared" si="33"/>
        <v>0</v>
      </c>
      <c r="Y64" s="93"/>
    </row>
    <row r="65" spans="1:25">
      <c r="A65" s="90" t="s">
        <v>170</v>
      </c>
      <c r="B65" s="91" t="s">
        <v>177</v>
      </c>
      <c r="C65" s="91" t="s">
        <v>35</v>
      </c>
      <c r="D65" s="10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22"/>
      <c r="P65" s="22"/>
      <c r="Q65" s="22"/>
      <c r="R65" s="22"/>
      <c r="S65" s="22"/>
      <c r="T65" s="22"/>
      <c r="U65" s="22"/>
      <c r="V65" s="22"/>
      <c r="W65" s="22"/>
      <c r="X65" s="19">
        <f t="shared" si="33"/>
        <v>0</v>
      </c>
      <c r="Y65" s="93"/>
    </row>
    <row r="66" spans="1:25">
      <c r="A66" s="90" t="s">
        <v>172</v>
      </c>
      <c r="B66" s="91" t="s">
        <v>179</v>
      </c>
      <c r="C66" s="91" t="s">
        <v>35</v>
      </c>
      <c r="D66" s="10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22"/>
      <c r="P66" s="22"/>
      <c r="Q66" s="22"/>
      <c r="R66" s="22"/>
      <c r="S66" s="22"/>
      <c r="T66" s="22"/>
      <c r="U66" s="22"/>
      <c r="V66" s="22"/>
      <c r="W66" s="22"/>
      <c r="X66" s="19">
        <f t="shared" si="33"/>
        <v>0</v>
      </c>
      <c r="Y66" s="93"/>
    </row>
    <row r="67" spans="1:25">
      <c r="A67" s="90" t="s">
        <v>174</v>
      </c>
      <c r="B67" s="91" t="s">
        <v>181</v>
      </c>
      <c r="C67" s="91" t="s">
        <v>35</v>
      </c>
      <c r="D67" s="10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22"/>
      <c r="P67" s="22"/>
      <c r="Q67" s="22"/>
      <c r="R67" s="22"/>
      <c r="S67" s="22"/>
      <c r="T67" s="22"/>
      <c r="U67" s="22"/>
      <c r="V67" s="22"/>
      <c r="W67" s="22"/>
      <c r="X67" s="19">
        <f t="shared" si="33"/>
        <v>0</v>
      </c>
      <c r="Y67" s="93"/>
    </row>
    <row r="68" spans="1:25">
      <c r="A68" s="90" t="s">
        <v>176</v>
      </c>
      <c r="B68" s="91" t="s">
        <v>183</v>
      </c>
      <c r="C68" s="91"/>
      <c r="D68" s="92"/>
      <c r="E68" s="19">
        <f>E69</f>
        <v>34000</v>
      </c>
      <c r="F68" s="19">
        <f t="shared" ref="F68:W68" si="34">F69</f>
        <v>33600</v>
      </c>
      <c r="G68" s="19">
        <f t="shared" si="34"/>
        <v>24000</v>
      </c>
      <c r="H68" s="19">
        <f t="shared" si="34"/>
        <v>29600</v>
      </c>
      <c r="I68" s="19">
        <f t="shared" si="34"/>
        <v>4400</v>
      </c>
      <c r="J68" s="19">
        <f t="shared" si="34"/>
        <v>39600</v>
      </c>
      <c r="K68" s="19">
        <f t="shared" si="34"/>
        <v>32400</v>
      </c>
      <c r="L68" s="19">
        <f t="shared" si="34"/>
        <v>19200</v>
      </c>
      <c r="M68" s="19">
        <f t="shared" si="34"/>
        <v>36800</v>
      </c>
      <c r="N68" s="19">
        <f t="shared" si="34"/>
        <v>24400</v>
      </c>
      <c r="O68" s="19">
        <f t="shared" si="34"/>
        <v>23200</v>
      </c>
      <c r="P68" s="19">
        <f t="shared" si="34"/>
        <v>24400</v>
      </c>
      <c r="Q68" s="19">
        <f>Q69</f>
        <v>22000</v>
      </c>
      <c r="R68" s="19">
        <f t="shared" si="34"/>
        <v>6800</v>
      </c>
      <c r="S68" s="19">
        <f t="shared" si="34"/>
        <v>9200</v>
      </c>
      <c r="T68" s="19">
        <f>T69</f>
        <v>9200</v>
      </c>
      <c r="U68" s="19">
        <f t="shared" si="34"/>
        <v>15200</v>
      </c>
      <c r="V68" s="19">
        <f>V69</f>
        <v>14400</v>
      </c>
      <c r="W68" s="19">
        <f t="shared" si="34"/>
        <v>2400</v>
      </c>
      <c r="X68" s="19">
        <f t="shared" si="33"/>
        <v>404800</v>
      </c>
      <c r="Y68" s="93"/>
    </row>
    <row r="69" spans="1:25" s="96" customFormat="1" ht="33.75">
      <c r="A69" s="90" t="s">
        <v>178</v>
      </c>
      <c r="B69" s="95" t="s">
        <v>185</v>
      </c>
      <c r="C69" s="95" t="s">
        <v>35</v>
      </c>
      <c r="D69" s="103" t="s">
        <v>186</v>
      </c>
      <c r="E69" s="19">
        <f>E93*400</f>
        <v>34000</v>
      </c>
      <c r="F69" s="19">
        <f t="shared" ref="F69:W69" si="35">F93*400</f>
        <v>33600</v>
      </c>
      <c r="G69" s="19">
        <f t="shared" si="35"/>
        <v>24000</v>
      </c>
      <c r="H69" s="19">
        <f t="shared" si="35"/>
        <v>29600</v>
      </c>
      <c r="I69" s="19">
        <f t="shared" si="35"/>
        <v>4400</v>
      </c>
      <c r="J69" s="19">
        <f t="shared" si="35"/>
        <v>39600</v>
      </c>
      <c r="K69" s="19">
        <f t="shared" si="35"/>
        <v>32400</v>
      </c>
      <c r="L69" s="19">
        <f t="shared" si="35"/>
        <v>19200</v>
      </c>
      <c r="M69" s="19">
        <f t="shared" si="35"/>
        <v>36800</v>
      </c>
      <c r="N69" s="19">
        <f t="shared" si="35"/>
        <v>24400</v>
      </c>
      <c r="O69" s="19">
        <f t="shared" si="35"/>
        <v>23200</v>
      </c>
      <c r="P69" s="19">
        <f t="shared" si="35"/>
        <v>24400</v>
      </c>
      <c r="Q69" s="19">
        <f>Q93*400</f>
        <v>22000</v>
      </c>
      <c r="R69" s="19">
        <f t="shared" si="35"/>
        <v>6800</v>
      </c>
      <c r="S69" s="19">
        <f t="shared" si="35"/>
        <v>9200</v>
      </c>
      <c r="T69" s="19">
        <f>T93*400</f>
        <v>9200</v>
      </c>
      <c r="U69" s="19">
        <f t="shared" si="35"/>
        <v>15200</v>
      </c>
      <c r="V69" s="19">
        <f>V93*400</f>
        <v>14400</v>
      </c>
      <c r="W69" s="19">
        <f t="shared" si="35"/>
        <v>2400</v>
      </c>
      <c r="X69" s="19">
        <f t="shared" si="33"/>
        <v>404800</v>
      </c>
      <c r="Y69" s="93"/>
    </row>
    <row r="70" spans="1:25">
      <c r="A70" s="90" t="s">
        <v>180</v>
      </c>
      <c r="B70" s="91" t="s">
        <v>188</v>
      </c>
      <c r="C70" s="91"/>
      <c r="D70" s="92" t="s">
        <v>28</v>
      </c>
      <c r="E70" s="19">
        <f>E71</f>
        <v>255945</v>
      </c>
      <c r="F70" s="19">
        <f t="shared" ref="F70:W70" si="36">F71</f>
        <v>178845</v>
      </c>
      <c r="G70" s="19">
        <f t="shared" si="36"/>
        <v>715855.35000000009</v>
      </c>
      <c r="H70" s="19">
        <f t="shared" si="36"/>
        <v>191830.5</v>
      </c>
      <c r="I70" s="19">
        <f t="shared" si="36"/>
        <v>237987.90000000002</v>
      </c>
      <c r="J70" s="19">
        <f t="shared" si="36"/>
        <v>353195.25</v>
      </c>
      <c r="K70" s="19">
        <f t="shared" si="36"/>
        <v>247352.84999999998</v>
      </c>
      <c r="L70" s="19">
        <f t="shared" si="36"/>
        <v>249734.55000000002</v>
      </c>
      <c r="M70" s="19">
        <f t="shared" si="36"/>
        <v>328071.59999999998</v>
      </c>
      <c r="N70" s="19">
        <f t="shared" si="36"/>
        <v>178714.35</v>
      </c>
      <c r="O70" s="19">
        <f t="shared" si="36"/>
        <v>114821.55</v>
      </c>
      <c r="P70" s="19">
        <f t="shared" si="36"/>
        <v>181706.7</v>
      </c>
      <c r="Q70" s="19">
        <f>Q71</f>
        <v>156571.80000000002</v>
      </c>
      <c r="R70" s="19">
        <f t="shared" si="36"/>
        <v>91200</v>
      </c>
      <c r="S70" s="19">
        <f t="shared" si="36"/>
        <v>86216.85</v>
      </c>
      <c r="T70" s="19">
        <f>T71</f>
        <v>179094</v>
      </c>
      <c r="U70" s="19">
        <f t="shared" si="36"/>
        <v>169290</v>
      </c>
      <c r="V70" s="19">
        <f>V71</f>
        <v>202800</v>
      </c>
      <c r="W70" s="19">
        <f t="shared" si="36"/>
        <v>84720</v>
      </c>
      <c r="X70" s="19">
        <f t="shared" si="33"/>
        <v>4203953.25</v>
      </c>
      <c r="Y70" s="93"/>
    </row>
    <row r="71" spans="1:25" s="96" customFormat="1" ht="22.5">
      <c r="A71" s="90" t="s">
        <v>182</v>
      </c>
      <c r="B71" s="95" t="s">
        <v>190</v>
      </c>
      <c r="C71" s="95" t="s">
        <v>35</v>
      </c>
      <c r="D71" s="103" t="s">
        <v>191</v>
      </c>
      <c r="E71" s="19">
        <f>E105*15</f>
        <v>255945</v>
      </c>
      <c r="F71" s="19">
        <f t="shared" ref="F71:W71" si="37">F105*15</f>
        <v>178845</v>
      </c>
      <c r="G71" s="19">
        <f t="shared" si="37"/>
        <v>715855.35000000009</v>
      </c>
      <c r="H71" s="19">
        <f t="shared" si="37"/>
        <v>191830.5</v>
      </c>
      <c r="I71" s="19">
        <f t="shared" si="37"/>
        <v>237987.90000000002</v>
      </c>
      <c r="J71" s="19">
        <f t="shared" si="37"/>
        <v>353195.25</v>
      </c>
      <c r="K71" s="19">
        <f t="shared" si="37"/>
        <v>247352.84999999998</v>
      </c>
      <c r="L71" s="19">
        <f t="shared" si="37"/>
        <v>249734.55000000002</v>
      </c>
      <c r="M71" s="19">
        <f t="shared" si="37"/>
        <v>328071.59999999998</v>
      </c>
      <c r="N71" s="19">
        <f t="shared" si="37"/>
        <v>178714.35</v>
      </c>
      <c r="O71" s="19">
        <f t="shared" si="37"/>
        <v>114821.55</v>
      </c>
      <c r="P71" s="19">
        <f t="shared" si="37"/>
        <v>181706.7</v>
      </c>
      <c r="Q71" s="19">
        <f>Q105*15</f>
        <v>156571.80000000002</v>
      </c>
      <c r="R71" s="19">
        <f t="shared" si="37"/>
        <v>91200</v>
      </c>
      <c r="S71" s="19">
        <f t="shared" si="37"/>
        <v>86216.85</v>
      </c>
      <c r="T71" s="19">
        <f>T105*15</f>
        <v>179094</v>
      </c>
      <c r="U71" s="19">
        <f t="shared" si="37"/>
        <v>169290</v>
      </c>
      <c r="V71" s="19">
        <f>V105*15</f>
        <v>202800</v>
      </c>
      <c r="W71" s="19">
        <f t="shared" si="37"/>
        <v>84720</v>
      </c>
      <c r="X71" s="19">
        <f t="shared" si="33"/>
        <v>4203953.25</v>
      </c>
      <c r="Y71" s="93"/>
    </row>
    <row r="72" spans="1:25">
      <c r="A72" s="90" t="s">
        <v>184</v>
      </c>
      <c r="B72" s="91" t="s">
        <v>193</v>
      </c>
      <c r="C72" s="91"/>
      <c r="D72" s="92" t="s">
        <v>28</v>
      </c>
      <c r="E72" s="19">
        <f>E73</f>
        <v>126632</v>
      </c>
      <c r="F72" s="19">
        <f t="shared" ref="F72:W72" si="38">F73</f>
        <v>82880</v>
      </c>
      <c r="G72" s="19">
        <f t="shared" si="38"/>
        <v>130104</v>
      </c>
      <c r="H72" s="19">
        <f t="shared" si="38"/>
        <v>81432</v>
      </c>
      <c r="I72" s="19">
        <f t="shared" si="38"/>
        <v>68379.600000000006</v>
      </c>
      <c r="J72" s="19">
        <f t="shared" si="38"/>
        <v>157696</v>
      </c>
      <c r="K72" s="19">
        <f t="shared" si="38"/>
        <v>89280</v>
      </c>
      <c r="L72" s="19">
        <f t="shared" si="38"/>
        <v>89000</v>
      </c>
      <c r="M72" s="19">
        <f t="shared" si="38"/>
        <v>125600</v>
      </c>
      <c r="N72" s="19">
        <f t="shared" si="38"/>
        <v>67576.800000000003</v>
      </c>
      <c r="O72" s="19">
        <f t="shared" si="38"/>
        <v>41072</v>
      </c>
      <c r="P72" s="19">
        <f t="shared" si="38"/>
        <v>34640</v>
      </c>
      <c r="Q72" s="19">
        <f>Q73</f>
        <v>34128</v>
      </c>
      <c r="R72" s="19">
        <f t="shared" si="38"/>
        <v>20000</v>
      </c>
      <c r="S72" s="19">
        <f t="shared" si="38"/>
        <v>20152</v>
      </c>
      <c r="T72" s="19">
        <f>T73</f>
        <v>39992</v>
      </c>
      <c r="U72" s="19">
        <f t="shared" si="38"/>
        <v>37018.720000000001</v>
      </c>
      <c r="V72" s="19">
        <f>V73</f>
        <v>40360</v>
      </c>
      <c r="W72" s="19">
        <f t="shared" si="38"/>
        <v>18560</v>
      </c>
      <c r="X72" s="19">
        <f t="shared" si="33"/>
        <v>1304503.1199999999</v>
      </c>
      <c r="Y72" s="93"/>
    </row>
    <row r="73" spans="1:25" s="96" customFormat="1" ht="22.5">
      <c r="A73" s="90" t="s">
        <v>187</v>
      </c>
      <c r="B73" s="95" t="s">
        <v>195</v>
      </c>
      <c r="C73" s="95" t="s">
        <v>35</v>
      </c>
      <c r="D73" s="103" t="s">
        <v>196</v>
      </c>
      <c r="E73" s="19">
        <f>E106*8</f>
        <v>126632</v>
      </c>
      <c r="F73" s="19">
        <f t="shared" ref="F73:W73" si="39">F106*8</f>
        <v>82880</v>
      </c>
      <c r="G73" s="19">
        <f t="shared" si="39"/>
        <v>130104</v>
      </c>
      <c r="H73" s="19">
        <f t="shared" si="39"/>
        <v>81432</v>
      </c>
      <c r="I73" s="19">
        <f t="shared" si="39"/>
        <v>68379.600000000006</v>
      </c>
      <c r="J73" s="19">
        <f t="shared" si="39"/>
        <v>157696</v>
      </c>
      <c r="K73" s="19">
        <f t="shared" si="39"/>
        <v>89280</v>
      </c>
      <c r="L73" s="19">
        <f t="shared" si="39"/>
        <v>89000</v>
      </c>
      <c r="M73" s="19">
        <f t="shared" si="39"/>
        <v>125600</v>
      </c>
      <c r="N73" s="19">
        <f t="shared" si="39"/>
        <v>67576.800000000003</v>
      </c>
      <c r="O73" s="19">
        <f t="shared" si="39"/>
        <v>41072</v>
      </c>
      <c r="P73" s="19">
        <f t="shared" si="39"/>
        <v>34640</v>
      </c>
      <c r="Q73" s="19">
        <f>Q106*8</f>
        <v>34128</v>
      </c>
      <c r="R73" s="19">
        <f t="shared" si="39"/>
        <v>20000</v>
      </c>
      <c r="S73" s="19">
        <f t="shared" si="39"/>
        <v>20152</v>
      </c>
      <c r="T73" s="19">
        <f>T106*8</f>
        <v>39992</v>
      </c>
      <c r="U73" s="19">
        <f t="shared" si="39"/>
        <v>37018.720000000001</v>
      </c>
      <c r="V73" s="19">
        <f>V106*8</f>
        <v>40360</v>
      </c>
      <c r="W73" s="19">
        <f t="shared" si="39"/>
        <v>18560</v>
      </c>
      <c r="X73" s="19">
        <f t="shared" si="33"/>
        <v>1304503.1199999999</v>
      </c>
      <c r="Y73" s="93"/>
    </row>
    <row r="74" spans="1:25">
      <c r="A74" s="90" t="s">
        <v>189</v>
      </c>
      <c r="B74" s="91" t="s">
        <v>198</v>
      </c>
      <c r="C74" s="91"/>
      <c r="D74" s="92" t="s">
        <v>28</v>
      </c>
      <c r="E74" s="19">
        <f>E75</f>
        <v>0</v>
      </c>
      <c r="F74" s="19">
        <f t="shared" ref="F74:W74" si="40">F75</f>
        <v>0</v>
      </c>
      <c r="G74" s="19">
        <f t="shared" si="40"/>
        <v>0</v>
      </c>
      <c r="H74" s="19">
        <f t="shared" si="40"/>
        <v>0</v>
      </c>
      <c r="I74" s="19">
        <f t="shared" si="40"/>
        <v>0</v>
      </c>
      <c r="J74" s="19">
        <f t="shared" si="40"/>
        <v>0</v>
      </c>
      <c r="K74" s="19">
        <f t="shared" si="40"/>
        <v>0</v>
      </c>
      <c r="L74" s="19">
        <f t="shared" si="40"/>
        <v>0</v>
      </c>
      <c r="M74" s="19">
        <f t="shared" si="40"/>
        <v>0</v>
      </c>
      <c r="N74" s="19">
        <f t="shared" si="40"/>
        <v>0</v>
      </c>
      <c r="O74" s="19">
        <f t="shared" si="40"/>
        <v>0</v>
      </c>
      <c r="P74" s="19">
        <f t="shared" si="40"/>
        <v>0</v>
      </c>
      <c r="Q74" s="19">
        <f>Q75</f>
        <v>0</v>
      </c>
      <c r="R74" s="19">
        <f t="shared" si="40"/>
        <v>0</v>
      </c>
      <c r="S74" s="19">
        <f t="shared" si="40"/>
        <v>0</v>
      </c>
      <c r="T74" s="19">
        <f>T75</f>
        <v>0</v>
      </c>
      <c r="U74" s="19">
        <f t="shared" si="40"/>
        <v>0</v>
      </c>
      <c r="V74" s="19">
        <f>V75</f>
        <v>0</v>
      </c>
      <c r="W74" s="19">
        <f t="shared" si="40"/>
        <v>0</v>
      </c>
      <c r="X74" s="19">
        <f t="shared" si="33"/>
        <v>0</v>
      </c>
      <c r="Y74" s="93"/>
    </row>
    <row r="75" spans="1:25" s="96" customFormat="1">
      <c r="A75" s="90" t="s">
        <v>192</v>
      </c>
      <c r="B75" s="95" t="s">
        <v>200</v>
      </c>
      <c r="C75" s="95" t="s">
        <v>35</v>
      </c>
      <c r="D75" s="103" t="s">
        <v>135</v>
      </c>
      <c r="E75" s="101"/>
      <c r="F75" s="101"/>
      <c r="G75" s="101"/>
      <c r="H75" s="101"/>
      <c r="I75" s="101"/>
      <c r="J75" s="101"/>
      <c r="K75" s="101"/>
      <c r="L75" s="101"/>
      <c r="M75" s="101"/>
      <c r="N75" s="101"/>
      <c r="O75" s="101"/>
      <c r="P75" s="101"/>
      <c r="Q75" s="101"/>
      <c r="R75" s="101"/>
      <c r="S75" s="101"/>
      <c r="T75" s="101"/>
      <c r="U75" s="101"/>
      <c r="V75" s="101"/>
      <c r="W75" s="101"/>
      <c r="X75" s="19">
        <f t="shared" si="33"/>
        <v>0</v>
      </c>
      <c r="Y75" s="93"/>
    </row>
    <row r="76" spans="1:25">
      <c r="A76" s="90" t="s">
        <v>194</v>
      </c>
      <c r="B76" s="91" t="s">
        <v>202</v>
      </c>
      <c r="C76" s="91"/>
      <c r="D76" s="92" t="s">
        <v>28</v>
      </c>
      <c r="E76" s="19">
        <f>E77</f>
        <v>367200</v>
      </c>
      <c r="F76" s="19">
        <f t="shared" ref="F76:W76" si="41">F77</f>
        <v>362880</v>
      </c>
      <c r="G76" s="19">
        <f t="shared" si="41"/>
        <v>259200</v>
      </c>
      <c r="H76" s="19">
        <f t="shared" si="41"/>
        <v>319680</v>
      </c>
      <c r="I76" s="19">
        <f t="shared" si="41"/>
        <v>47520</v>
      </c>
      <c r="J76" s="19">
        <f t="shared" si="41"/>
        <v>427680</v>
      </c>
      <c r="K76" s="19">
        <f t="shared" si="41"/>
        <v>349920</v>
      </c>
      <c r="L76" s="19">
        <f t="shared" si="41"/>
        <v>207360</v>
      </c>
      <c r="M76" s="19">
        <f t="shared" si="41"/>
        <v>397440</v>
      </c>
      <c r="N76" s="19">
        <f t="shared" si="41"/>
        <v>263520</v>
      </c>
      <c r="O76" s="19">
        <f t="shared" si="41"/>
        <v>250560</v>
      </c>
      <c r="P76" s="19">
        <f t="shared" si="41"/>
        <v>263520</v>
      </c>
      <c r="Q76" s="19">
        <f>Q77</f>
        <v>237600</v>
      </c>
      <c r="R76" s="19">
        <f t="shared" si="41"/>
        <v>73440</v>
      </c>
      <c r="S76" s="19">
        <f t="shared" si="41"/>
        <v>99360</v>
      </c>
      <c r="T76" s="19">
        <f>T77</f>
        <v>99360</v>
      </c>
      <c r="U76" s="19">
        <f t="shared" si="41"/>
        <v>164160</v>
      </c>
      <c r="V76" s="19">
        <f>V77</f>
        <v>155520</v>
      </c>
      <c r="W76" s="19">
        <f t="shared" si="41"/>
        <v>25920</v>
      </c>
      <c r="X76" s="19">
        <f t="shared" si="33"/>
        <v>4371840</v>
      </c>
      <c r="Y76" s="93"/>
    </row>
    <row r="77" spans="1:25" s="96" customFormat="1" ht="33.75">
      <c r="A77" s="90" t="s">
        <v>197</v>
      </c>
      <c r="B77" s="95" t="s">
        <v>204</v>
      </c>
      <c r="C77" s="95" t="s">
        <v>35</v>
      </c>
      <c r="D77" s="103" t="s">
        <v>205</v>
      </c>
      <c r="E77" s="19">
        <f>E93*4320</f>
        <v>367200</v>
      </c>
      <c r="F77" s="19">
        <f t="shared" ref="F77:W77" si="42">F93*4320</f>
        <v>362880</v>
      </c>
      <c r="G77" s="19">
        <f t="shared" si="42"/>
        <v>259200</v>
      </c>
      <c r="H77" s="19">
        <f t="shared" si="42"/>
        <v>319680</v>
      </c>
      <c r="I77" s="19">
        <f t="shared" si="42"/>
        <v>47520</v>
      </c>
      <c r="J77" s="19">
        <f t="shared" si="42"/>
        <v>427680</v>
      </c>
      <c r="K77" s="19">
        <f t="shared" si="42"/>
        <v>349920</v>
      </c>
      <c r="L77" s="19">
        <f t="shared" si="42"/>
        <v>207360</v>
      </c>
      <c r="M77" s="19">
        <f t="shared" si="42"/>
        <v>397440</v>
      </c>
      <c r="N77" s="19">
        <f t="shared" si="42"/>
        <v>263520</v>
      </c>
      <c r="O77" s="19">
        <f t="shared" si="42"/>
        <v>250560</v>
      </c>
      <c r="P77" s="19">
        <f t="shared" si="42"/>
        <v>263520</v>
      </c>
      <c r="Q77" s="19">
        <f>Q93*4320</f>
        <v>237600</v>
      </c>
      <c r="R77" s="19">
        <f t="shared" si="42"/>
        <v>73440</v>
      </c>
      <c r="S77" s="19">
        <f t="shared" si="42"/>
        <v>99360</v>
      </c>
      <c r="T77" s="19">
        <f>T93*4320</f>
        <v>99360</v>
      </c>
      <c r="U77" s="19">
        <f t="shared" si="42"/>
        <v>164160</v>
      </c>
      <c r="V77" s="19">
        <f>V93*4320</f>
        <v>155520</v>
      </c>
      <c r="W77" s="19">
        <f t="shared" si="42"/>
        <v>25920</v>
      </c>
      <c r="X77" s="19">
        <f t="shared" si="33"/>
        <v>4371840</v>
      </c>
      <c r="Y77" s="93"/>
    </row>
    <row r="78" spans="1:25">
      <c r="A78" s="90" t="s">
        <v>199</v>
      </c>
      <c r="B78" s="91" t="s">
        <v>207</v>
      </c>
      <c r="C78" s="91"/>
      <c r="D78" s="92" t="s">
        <v>28</v>
      </c>
      <c r="E78" s="19">
        <f>E79</f>
        <v>371382</v>
      </c>
      <c r="F78" s="19">
        <f t="shared" ref="F78:W78" si="43">F79</f>
        <v>381017.14</v>
      </c>
      <c r="G78" s="19">
        <f t="shared" si="43"/>
        <v>206016</v>
      </c>
      <c r="H78" s="19">
        <f t="shared" si="43"/>
        <v>303589.71000000002</v>
      </c>
      <c r="I78" s="19">
        <f t="shared" si="43"/>
        <v>29691.43</v>
      </c>
      <c r="J78" s="19">
        <f t="shared" si="43"/>
        <v>371197.71</v>
      </c>
      <c r="K78" s="19">
        <f t="shared" si="43"/>
        <v>315915.43</v>
      </c>
      <c r="L78" s="19">
        <f t="shared" si="43"/>
        <v>195726.86</v>
      </c>
      <c r="M78" s="19">
        <f t="shared" si="43"/>
        <v>384534.86</v>
      </c>
      <c r="N78" s="19">
        <f t="shared" si="43"/>
        <v>239708.57</v>
      </c>
      <c r="O78" s="19">
        <f t="shared" si="43"/>
        <v>224300.57</v>
      </c>
      <c r="P78" s="19">
        <f t="shared" si="43"/>
        <v>234449.14</v>
      </c>
      <c r="Q78" s="19">
        <f>Q79</f>
        <v>197299.71</v>
      </c>
      <c r="R78" s="19">
        <f t="shared" si="43"/>
        <v>74142.86</v>
      </c>
      <c r="S78" s="19">
        <f t="shared" si="43"/>
        <v>89286.86</v>
      </c>
      <c r="T78" s="19">
        <f>T79</f>
        <v>78963.429999999993</v>
      </c>
      <c r="U78" s="19">
        <f t="shared" si="43"/>
        <v>135587.43</v>
      </c>
      <c r="V78" s="19">
        <f>V79</f>
        <v>139309.71</v>
      </c>
      <c r="W78" s="19">
        <f t="shared" si="43"/>
        <v>26259.43</v>
      </c>
      <c r="X78" s="19">
        <f t="shared" si="33"/>
        <v>3998378.8499999996</v>
      </c>
      <c r="Y78" s="93"/>
    </row>
    <row r="79" spans="1:25" s="96" customFormat="1" ht="22.5">
      <c r="A79" s="90" t="s">
        <v>201</v>
      </c>
      <c r="B79" s="95" t="s">
        <v>209</v>
      </c>
      <c r="C79" s="95" t="s">
        <v>35</v>
      </c>
      <c r="D79" s="93" t="s">
        <v>51</v>
      </c>
      <c r="E79" s="19">
        <f>ROUND(E28/0.07*0.02,2)</f>
        <v>371382</v>
      </c>
      <c r="F79" s="19">
        <f t="shared" ref="F79:W79" si="44">ROUND(F28/0.07*0.02,2)</f>
        <v>381017.14</v>
      </c>
      <c r="G79" s="19">
        <f t="shared" si="44"/>
        <v>206016</v>
      </c>
      <c r="H79" s="19">
        <f t="shared" si="44"/>
        <v>303589.71000000002</v>
      </c>
      <c r="I79" s="19">
        <f t="shared" si="44"/>
        <v>29691.43</v>
      </c>
      <c r="J79" s="19">
        <f t="shared" si="44"/>
        <v>371197.71</v>
      </c>
      <c r="K79" s="19">
        <f t="shared" si="44"/>
        <v>315915.43</v>
      </c>
      <c r="L79" s="19">
        <f t="shared" si="44"/>
        <v>195726.86</v>
      </c>
      <c r="M79" s="19">
        <f t="shared" si="44"/>
        <v>384534.86</v>
      </c>
      <c r="N79" s="19">
        <f t="shared" si="44"/>
        <v>239708.57</v>
      </c>
      <c r="O79" s="19">
        <f t="shared" si="44"/>
        <v>224300.57</v>
      </c>
      <c r="P79" s="19">
        <f t="shared" si="44"/>
        <v>234449.14</v>
      </c>
      <c r="Q79" s="19">
        <f>ROUND(Q28/0.07*0.02,2)</f>
        <v>197299.71</v>
      </c>
      <c r="R79" s="19">
        <f t="shared" si="44"/>
        <v>74142.86</v>
      </c>
      <c r="S79" s="19">
        <f t="shared" si="44"/>
        <v>89286.86</v>
      </c>
      <c r="T79" s="19">
        <f>ROUND(T28/0.07*0.02,2)</f>
        <v>78963.429999999993</v>
      </c>
      <c r="U79" s="19">
        <f t="shared" si="44"/>
        <v>135587.43</v>
      </c>
      <c r="V79" s="19">
        <f>ROUND(V28/0.07*0.02,2)</f>
        <v>139309.71</v>
      </c>
      <c r="W79" s="19">
        <f t="shared" si="44"/>
        <v>26259.43</v>
      </c>
      <c r="X79" s="19">
        <f t="shared" si="33"/>
        <v>3998378.8499999996</v>
      </c>
      <c r="Y79" s="93"/>
    </row>
    <row r="80" spans="1:25">
      <c r="A80" s="90" t="s">
        <v>203</v>
      </c>
      <c r="B80" s="91" t="s">
        <v>211</v>
      </c>
      <c r="C80" s="91"/>
      <c r="D80" s="92" t="s">
        <v>28</v>
      </c>
      <c r="E80" s="19">
        <f>E81</f>
        <v>32000</v>
      </c>
      <c r="F80" s="19">
        <f t="shared" ref="F80:W80" si="45">F81</f>
        <v>32000</v>
      </c>
      <c r="G80" s="19">
        <f t="shared" si="45"/>
        <v>0</v>
      </c>
      <c r="H80" s="19">
        <f t="shared" si="45"/>
        <v>0</v>
      </c>
      <c r="I80" s="19">
        <f t="shared" si="45"/>
        <v>0</v>
      </c>
      <c r="J80" s="19">
        <f t="shared" si="45"/>
        <v>32000</v>
      </c>
      <c r="K80" s="19">
        <f t="shared" si="45"/>
        <v>32000</v>
      </c>
      <c r="L80" s="19">
        <f t="shared" si="45"/>
        <v>0</v>
      </c>
      <c r="M80" s="19">
        <f t="shared" si="45"/>
        <v>0</v>
      </c>
      <c r="N80" s="19">
        <f t="shared" si="45"/>
        <v>0</v>
      </c>
      <c r="O80" s="19">
        <f t="shared" si="45"/>
        <v>32000</v>
      </c>
      <c r="P80" s="19">
        <f t="shared" si="45"/>
        <v>32000</v>
      </c>
      <c r="Q80" s="19">
        <f>Q81</f>
        <v>0</v>
      </c>
      <c r="R80" s="19">
        <f t="shared" si="45"/>
        <v>0</v>
      </c>
      <c r="S80" s="19">
        <f t="shared" si="45"/>
        <v>0</v>
      </c>
      <c r="T80" s="19">
        <f>T81</f>
        <v>0</v>
      </c>
      <c r="U80" s="19">
        <f t="shared" si="45"/>
        <v>0</v>
      </c>
      <c r="V80" s="19">
        <f>V81</f>
        <v>0</v>
      </c>
      <c r="W80" s="19">
        <f t="shared" si="45"/>
        <v>32000</v>
      </c>
      <c r="X80" s="19">
        <f t="shared" si="33"/>
        <v>224000</v>
      </c>
      <c r="Y80" s="93"/>
    </row>
    <row r="81" spans="1:26" ht="67.5">
      <c r="A81" s="90" t="s">
        <v>206</v>
      </c>
      <c r="B81" s="91" t="s">
        <v>213</v>
      </c>
      <c r="C81" s="91" t="s">
        <v>35</v>
      </c>
      <c r="D81" s="102" t="s">
        <v>214</v>
      </c>
      <c r="E81" s="22">
        <v>32000</v>
      </c>
      <c r="F81" s="22">
        <v>32000</v>
      </c>
      <c r="G81" s="22"/>
      <c r="H81" s="22"/>
      <c r="I81" s="22"/>
      <c r="J81" s="22">
        <v>32000</v>
      </c>
      <c r="K81" s="22">
        <v>32000</v>
      </c>
      <c r="L81" s="22"/>
      <c r="M81" s="22"/>
      <c r="N81" s="22"/>
      <c r="O81" s="22">
        <v>32000</v>
      </c>
      <c r="P81" s="22">
        <v>32000</v>
      </c>
      <c r="Q81" s="22"/>
      <c r="R81" s="22"/>
      <c r="S81" s="22"/>
      <c r="T81" s="22"/>
      <c r="U81" s="22"/>
      <c r="V81" s="22"/>
      <c r="W81" s="22">
        <v>32000</v>
      </c>
      <c r="X81" s="19">
        <f t="shared" si="33"/>
        <v>224000</v>
      </c>
      <c r="Y81" s="93"/>
    </row>
    <row r="82" spans="1:26">
      <c r="A82" s="90" t="s">
        <v>208</v>
      </c>
      <c r="B82" s="91" t="s">
        <v>216</v>
      </c>
      <c r="C82" s="91"/>
      <c r="D82" s="92" t="s">
        <v>28</v>
      </c>
      <c r="E82" s="19">
        <f>E83+E86+E89</f>
        <v>311520</v>
      </c>
      <c r="F82" s="19">
        <f t="shared" ref="F82:W82" si="46">F83+F86+F89</f>
        <v>311520</v>
      </c>
      <c r="G82" s="19">
        <f t="shared" si="46"/>
        <v>0</v>
      </c>
      <c r="H82" s="19">
        <f t="shared" si="46"/>
        <v>0</v>
      </c>
      <c r="I82" s="19">
        <f t="shared" si="46"/>
        <v>0</v>
      </c>
      <c r="J82" s="19">
        <f t="shared" si="46"/>
        <v>467280</v>
      </c>
      <c r="K82" s="19">
        <f t="shared" si="46"/>
        <v>481440</v>
      </c>
      <c r="L82" s="19">
        <f t="shared" si="46"/>
        <v>0</v>
      </c>
      <c r="M82" s="19">
        <f t="shared" si="46"/>
        <v>0</v>
      </c>
      <c r="N82" s="19">
        <f t="shared" si="46"/>
        <v>0</v>
      </c>
      <c r="O82" s="19">
        <f t="shared" si="46"/>
        <v>118000</v>
      </c>
      <c r="P82" s="19">
        <f t="shared" si="46"/>
        <v>108560</v>
      </c>
      <c r="Q82" s="19">
        <f>Q83+Q86+Q89</f>
        <v>0</v>
      </c>
      <c r="R82" s="19">
        <f t="shared" si="46"/>
        <v>0</v>
      </c>
      <c r="S82" s="19">
        <f t="shared" si="46"/>
        <v>0</v>
      </c>
      <c r="T82" s="19">
        <f>T83+T86+T89</f>
        <v>0</v>
      </c>
      <c r="U82" s="19">
        <f t="shared" si="46"/>
        <v>0</v>
      </c>
      <c r="V82" s="19">
        <f>V83+V86+V89</f>
        <v>0</v>
      </c>
      <c r="W82" s="19">
        <f t="shared" si="46"/>
        <v>84960</v>
      </c>
      <c r="X82" s="19">
        <f t="shared" si="33"/>
        <v>1883280</v>
      </c>
      <c r="Y82" s="93"/>
    </row>
    <row r="83" spans="1:26">
      <c r="A83" s="90" t="s">
        <v>210</v>
      </c>
      <c r="B83" s="91" t="s">
        <v>218</v>
      </c>
      <c r="C83" s="91"/>
      <c r="D83" s="92" t="s">
        <v>28</v>
      </c>
      <c r="E83" s="19">
        <f>E84+E85</f>
        <v>0</v>
      </c>
      <c r="F83" s="19">
        <f t="shared" ref="F83:W83" si="47">F84+F85</f>
        <v>0</v>
      </c>
      <c r="G83" s="19">
        <f t="shared" si="47"/>
        <v>0</v>
      </c>
      <c r="H83" s="19">
        <f t="shared" si="47"/>
        <v>0</v>
      </c>
      <c r="I83" s="19">
        <f t="shared" si="47"/>
        <v>0</v>
      </c>
      <c r="J83" s="19">
        <f t="shared" si="47"/>
        <v>0</v>
      </c>
      <c r="K83" s="19">
        <f t="shared" si="47"/>
        <v>0</v>
      </c>
      <c r="L83" s="19">
        <f t="shared" si="47"/>
        <v>0</v>
      </c>
      <c r="M83" s="19">
        <f t="shared" si="47"/>
        <v>0</v>
      </c>
      <c r="N83" s="19">
        <f t="shared" si="47"/>
        <v>0</v>
      </c>
      <c r="O83" s="19">
        <f t="shared" si="47"/>
        <v>0</v>
      </c>
      <c r="P83" s="19">
        <f t="shared" si="47"/>
        <v>0</v>
      </c>
      <c r="Q83" s="19">
        <f>Q84+Q85</f>
        <v>0</v>
      </c>
      <c r="R83" s="19">
        <f t="shared" si="47"/>
        <v>0</v>
      </c>
      <c r="S83" s="19">
        <f t="shared" si="47"/>
        <v>0</v>
      </c>
      <c r="T83" s="19">
        <f>T84+T85</f>
        <v>0</v>
      </c>
      <c r="U83" s="19">
        <f t="shared" si="47"/>
        <v>0</v>
      </c>
      <c r="V83" s="19">
        <f>V84+V85</f>
        <v>0</v>
      </c>
      <c r="W83" s="19">
        <f t="shared" si="47"/>
        <v>0</v>
      </c>
      <c r="X83" s="19">
        <f t="shared" si="33"/>
        <v>0</v>
      </c>
      <c r="Y83" s="93"/>
    </row>
    <row r="84" spans="1:26">
      <c r="A84" s="90" t="s">
        <v>212</v>
      </c>
      <c r="B84" s="91" t="s">
        <v>220</v>
      </c>
      <c r="C84" s="91" t="s">
        <v>35</v>
      </c>
      <c r="D84" s="102" t="s">
        <v>135</v>
      </c>
      <c r="E84" s="99"/>
      <c r="F84" s="99"/>
      <c r="G84" s="99"/>
      <c r="H84" s="99"/>
      <c r="I84" s="99"/>
      <c r="J84" s="99"/>
      <c r="K84" s="99"/>
      <c r="L84" s="99"/>
      <c r="M84" s="99"/>
      <c r="N84" s="99"/>
      <c r="O84" s="99"/>
      <c r="P84" s="99"/>
      <c r="Q84" s="99"/>
      <c r="R84" s="99"/>
      <c r="S84" s="99"/>
      <c r="T84" s="99"/>
      <c r="U84" s="99"/>
      <c r="V84" s="99"/>
      <c r="W84" s="99"/>
      <c r="X84" s="19">
        <f t="shared" si="33"/>
        <v>0</v>
      </c>
      <c r="Y84" s="98"/>
    </row>
    <row r="85" spans="1:26" ht="22.5">
      <c r="A85" s="90" t="s">
        <v>215</v>
      </c>
      <c r="B85" s="91" t="s">
        <v>222</v>
      </c>
      <c r="C85" s="91" t="s">
        <v>35</v>
      </c>
      <c r="D85" s="92" t="s">
        <v>223</v>
      </c>
      <c r="E85" s="99"/>
      <c r="F85" s="99"/>
      <c r="G85" s="99"/>
      <c r="H85" s="99"/>
      <c r="I85" s="99"/>
      <c r="J85" s="99"/>
      <c r="K85" s="99"/>
      <c r="L85" s="99"/>
      <c r="M85" s="99"/>
      <c r="N85" s="99"/>
      <c r="O85" s="99"/>
      <c r="P85" s="99"/>
      <c r="Q85" s="99"/>
      <c r="R85" s="99"/>
      <c r="S85" s="99"/>
      <c r="T85" s="99"/>
      <c r="U85" s="99"/>
      <c r="V85" s="99"/>
      <c r="W85" s="99"/>
      <c r="X85" s="19">
        <f t="shared" si="33"/>
        <v>0</v>
      </c>
      <c r="Y85" s="98"/>
    </row>
    <row r="86" spans="1:26">
      <c r="A86" s="90" t="s">
        <v>217</v>
      </c>
      <c r="B86" s="91" t="s">
        <v>225</v>
      </c>
      <c r="C86" s="91"/>
      <c r="D86" s="92" t="s">
        <v>28</v>
      </c>
      <c r="E86" s="19">
        <f>E87+E88</f>
        <v>311520</v>
      </c>
      <c r="F86" s="19">
        <f t="shared" ref="F86:W86" si="48">F87+F88</f>
        <v>311520</v>
      </c>
      <c r="G86" s="19">
        <f t="shared" si="48"/>
        <v>0</v>
      </c>
      <c r="H86" s="19">
        <f t="shared" si="48"/>
        <v>0</v>
      </c>
      <c r="I86" s="19">
        <f t="shared" si="48"/>
        <v>0</v>
      </c>
      <c r="J86" s="19">
        <f t="shared" si="48"/>
        <v>467280</v>
      </c>
      <c r="K86" s="19">
        <f t="shared" si="48"/>
        <v>481440</v>
      </c>
      <c r="L86" s="19">
        <f t="shared" si="48"/>
        <v>0</v>
      </c>
      <c r="M86" s="19">
        <f t="shared" si="48"/>
        <v>0</v>
      </c>
      <c r="N86" s="19">
        <f t="shared" si="48"/>
        <v>0</v>
      </c>
      <c r="O86" s="19">
        <f t="shared" si="48"/>
        <v>118000</v>
      </c>
      <c r="P86" s="19">
        <f t="shared" si="48"/>
        <v>108560</v>
      </c>
      <c r="Q86" s="19">
        <f>Q87+Q88</f>
        <v>0</v>
      </c>
      <c r="R86" s="19">
        <f t="shared" si="48"/>
        <v>0</v>
      </c>
      <c r="S86" s="19">
        <f t="shared" si="48"/>
        <v>0</v>
      </c>
      <c r="T86" s="19">
        <f>T87+T88</f>
        <v>0</v>
      </c>
      <c r="U86" s="19">
        <f t="shared" si="48"/>
        <v>0</v>
      </c>
      <c r="V86" s="19">
        <f>V87+V88</f>
        <v>0</v>
      </c>
      <c r="W86" s="19">
        <f t="shared" si="48"/>
        <v>84960</v>
      </c>
      <c r="X86" s="19">
        <f t="shared" si="33"/>
        <v>1883280</v>
      </c>
      <c r="Y86" s="93"/>
    </row>
    <row r="87" spans="1:26" s="96" customFormat="1" ht="33.75">
      <c r="A87" s="90" t="s">
        <v>219</v>
      </c>
      <c r="B87" s="95" t="s">
        <v>227</v>
      </c>
      <c r="C87" s="95" t="s">
        <v>35</v>
      </c>
      <c r="D87" s="103" t="s">
        <v>228</v>
      </c>
      <c r="E87" s="19">
        <f>E104*400</f>
        <v>26400</v>
      </c>
      <c r="F87" s="19">
        <f t="shared" ref="F87:W87" si="49">F104*400</f>
        <v>26400</v>
      </c>
      <c r="G87" s="19">
        <f t="shared" si="49"/>
        <v>0</v>
      </c>
      <c r="H87" s="19">
        <f t="shared" si="49"/>
        <v>0</v>
      </c>
      <c r="I87" s="19">
        <f t="shared" si="49"/>
        <v>0</v>
      </c>
      <c r="J87" s="19">
        <f t="shared" si="49"/>
        <v>39600</v>
      </c>
      <c r="K87" s="19">
        <f t="shared" si="49"/>
        <v>40800</v>
      </c>
      <c r="L87" s="19">
        <f t="shared" si="49"/>
        <v>0</v>
      </c>
      <c r="M87" s="19">
        <f t="shared" si="49"/>
        <v>0</v>
      </c>
      <c r="N87" s="19">
        <f t="shared" si="49"/>
        <v>0</v>
      </c>
      <c r="O87" s="19">
        <f t="shared" si="49"/>
        <v>10000</v>
      </c>
      <c r="P87" s="19">
        <f t="shared" si="49"/>
        <v>9200</v>
      </c>
      <c r="Q87" s="19">
        <f>Q104*400</f>
        <v>0</v>
      </c>
      <c r="R87" s="19">
        <f t="shared" si="49"/>
        <v>0</v>
      </c>
      <c r="S87" s="19">
        <f t="shared" si="49"/>
        <v>0</v>
      </c>
      <c r="T87" s="19">
        <f>T104*400</f>
        <v>0</v>
      </c>
      <c r="U87" s="19">
        <f t="shared" si="49"/>
        <v>0</v>
      </c>
      <c r="V87" s="19">
        <f>V104*400</f>
        <v>0</v>
      </c>
      <c r="W87" s="19">
        <f t="shared" si="49"/>
        <v>7200</v>
      </c>
      <c r="X87" s="19">
        <f t="shared" si="33"/>
        <v>159600</v>
      </c>
      <c r="Y87" s="93"/>
    </row>
    <row r="88" spans="1:26" s="96" customFormat="1" ht="33.75">
      <c r="A88" s="90" t="s">
        <v>221</v>
      </c>
      <c r="B88" s="95" t="s">
        <v>230</v>
      </c>
      <c r="C88" s="95" t="s">
        <v>35</v>
      </c>
      <c r="D88" s="103" t="s">
        <v>231</v>
      </c>
      <c r="E88" s="19">
        <f>E104*4320</f>
        <v>285120</v>
      </c>
      <c r="F88" s="19">
        <f t="shared" ref="F88:W88" si="50">F104*4320</f>
        <v>285120</v>
      </c>
      <c r="G88" s="19">
        <f t="shared" si="50"/>
        <v>0</v>
      </c>
      <c r="H88" s="19">
        <f t="shared" si="50"/>
        <v>0</v>
      </c>
      <c r="I88" s="19">
        <f t="shared" si="50"/>
        <v>0</v>
      </c>
      <c r="J88" s="19">
        <f t="shared" si="50"/>
        <v>427680</v>
      </c>
      <c r="K88" s="19">
        <f t="shared" si="50"/>
        <v>440640</v>
      </c>
      <c r="L88" s="19">
        <f t="shared" si="50"/>
        <v>0</v>
      </c>
      <c r="M88" s="19">
        <f t="shared" si="50"/>
        <v>0</v>
      </c>
      <c r="N88" s="19">
        <f t="shared" si="50"/>
        <v>0</v>
      </c>
      <c r="O88" s="19">
        <f t="shared" si="50"/>
        <v>108000</v>
      </c>
      <c r="P88" s="19">
        <f t="shared" si="50"/>
        <v>99360</v>
      </c>
      <c r="Q88" s="19">
        <f>Q104*4320</f>
        <v>0</v>
      </c>
      <c r="R88" s="19">
        <f t="shared" si="50"/>
        <v>0</v>
      </c>
      <c r="S88" s="19">
        <f t="shared" si="50"/>
        <v>0</v>
      </c>
      <c r="T88" s="19">
        <f>T104*4320</f>
        <v>0</v>
      </c>
      <c r="U88" s="19">
        <f t="shared" si="50"/>
        <v>0</v>
      </c>
      <c r="V88" s="19">
        <f>V104*4320</f>
        <v>0</v>
      </c>
      <c r="W88" s="19">
        <f t="shared" si="50"/>
        <v>77760</v>
      </c>
      <c r="X88" s="19">
        <f t="shared" si="33"/>
        <v>1723680</v>
      </c>
      <c r="Y88" s="93"/>
    </row>
    <row r="89" spans="1:26">
      <c r="A89" s="90" t="s">
        <v>224</v>
      </c>
      <c r="B89" s="91" t="s">
        <v>233</v>
      </c>
      <c r="C89" s="91" t="s">
        <v>35</v>
      </c>
      <c r="D89" s="102" t="s">
        <v>135</v>
      </c>
      <c r="E89" s="104"/>
      <c r="F89" s="104"/>
      <c r="G89" s="104"/>
      <c r="H89" s="104"/>
      <c r="I89" s="104"/>
      <c r="J89" s="104"/>
      <c r="K89" s="104"/>
      <c r="L89" s="104"/>
      <c r="M89" s="104"/>
      <c r="N89" s="104"/>
      <c r="O89" s="104"/>
      <c r="P89" s="104"/>
      <c r="Q89" s="104"/>
      <c r="R89" s="104"/>
      <c r="S89" s="104"/>
      <c r="T89" s="104"/>
      <c r="U89" s="104"/>
      <c r="V89" s="104"/>
      <c r="W89" s="104"/>
      <c r="X89" s="19">
        <f t="shared" si="33"/>
        <v>0</v>
      </c>
      <c r="Y89" s="98"/>
    </row>
    <row r="90" spans="1:26">
      <c r="A90" s="90" t="s">
        <v>226</v>
      </c>
      <c r="B90" s="91" t="s">
        <v>235</v>
      </c>
      <c r="C90" s="91"/>
      <c r="D90" s="92" t="s">
        <v>28</v>
      </c>
      <c r="E90" s="19">
        <f>E91</f>
        <v>0</v>
      </c>
      <c r="F90" s="19">
        <f t="shared" ref="F90:W90" si="51">F91</f>
        <v>0</v>
      </c>
      <c r="G90" s="19">
        <f t="shared" si="51"/>
        <v>32000</v>
      </c>
      <c r="H90" s="19">
        <f t="shared" si="51"/>
        <v>32000</v>
      </c>
      <c r="I90" s="19">
        <f t="shared" si="51"/>
        <v>32000</v>
      </c>
      <c r="J90" s="19">
        <f t="shared" si="51"/>
        <v>10000</v>
      </c>
      <c r="K90" s="19">
        <f t="shared" si="51"/>
        <v>0</v>
      </c>
      <c r="L90" s="19">
        <f t="shared" si="51"/>
        <v>32000</v>
      </c>
      <c r="M90" s="19">
        <f t="shared" si="51"/>
        <v>32000</v>
      </c>
      <c r="N90" s="19">
        <f t="shared" si="51"/>
        <v>32000</v>
      </c>
      <c r="O90" s="19">
        <f t="shared" si="51"/>
        <v>5000</v>
      </c>
      <c r="P90" s="19">
        <f t="shared" si="51"/>
        <v>5000</v>
      </c>
      <c r="Q90" s="19">
        <f>Q91</f>
        <v>32000</v>
      </c>
      <c r="R90" s="19">
        <f t="shared" si="51"/>
        <v>32000</v>
      </c>
      <c r="S90" s="19">
        <f t="shared" si="51"/>
        <v>32000</v>
      </c>
      <c r="T90" s="19">
        <f>T91</f>
        <v>32000</v>
      </c>
      <c r="U90" s="19">
        <f t="shared" si="51"/>
        <v>32000</v>
      </c>
      <c r="V90" s="19">
        <f>V91</f>
        <v>32000</v>
      </c>
      <c r="W90" s="19">
        <f t="shared" si="51"/>
        <v>0</v>
      </c>
      <c r="X90" s="19">
        <f t="shared" ref="X90:X106" si="52">SUM(E90:W90)</f>
        <v>404000</v>
      </c>
      <c r="Y90" s="93"/>
    </row>
    <row r="91" spans="1:26" ht="124.5" thickBot="1">
      <c r="A91" s="90" t="s">
        <v>229</v>
      </c>
      <c r="B91" s="105" t="s">
        <v>237</v>
      </c>
      <c r="C91" s="91" t="s">
        <v>35</v>
      </c>
      <c r="D91" s="106" t="s">
        <v>519</v>
      </c>
      <c r="E91" s="107"/>
      <c r="F91" s="107"/>
      <c r="G91" s="107">
        <v>32000</v>
      </c>
      <c r="H91" s="107">
        <v>32000</v>
      </c>
      <c r="I91" s="107">
        <v>32000</v>
      </c>
      <c r="J91" s="107">
        <v>10000</v>
      </c>
      <c r="K91" s="107"/>
      <c r="L91" s="107">
        <v>32000</v>
      </c>
      <c r="M91" s="107">
        <v>32000</v>
      </c>
      <c r="N91" s="107">
        <v>32000</v>
      </c>
      <c r="O91" s="107">
        <v>5000</v>
      </c>
      <c r="P91" s="107">
        <v>5000</v>
      </c>
      <c r="Q91" s="107">
        <v>32000</v>
      </c>
      <c r="R91" s="107">
        <v>32000</v>
      </c>
      <c r="S91" s="107">
        <v>32000</v>
      </c>
      <c r="T91" s="107">
        <v>32000</v>
      </c>
      <c r="U91" s="107">
        <v>32000</v>
      </c>
      <c r="V91" s="107">
        <v>32000</v>
      </c>
      <c r="W91" s="107"/>
      <c r="X91" s="19">
        <f t="shared" si="52"/>
        <v>404000</v>
      </c>
      <c r="Y91" s="108"/>
    </row>
    <row r="92" spans="1:26" ht="23.25" customHeight="1" thickTop="1">
      <c r="A92" s="90" t="s">
        <v>232</v>
      </c>
      <c r="B92" s="109" t="s">
        <v>240</v>
      </c>
      <c r="C92" s="109"/>
      <c r="D92" s="110"/>
      <c r="E92" s="111"/>
      <c r="F92" s="111"/>
      <c r="G92" s="111"/>
      <c r="H92" s="111"/>
      <c r="I92" s="111"/>
      <c r="J92" s="111"/>
      <c r="K92" s="111"/>
      <c r="L92" s="111"/>
      <c r="M92" s="111"/>
      <c r="N92" s="111"/>
      <c r="O92" s="111"/>
      <c r="P92" s="111"/>
      <c r="Q92" s="111"/>
      <c r="R92" s="111"/>
      <c r="S92" s="111"/>
      <c r="T92" s="111"/>
      <c r="U92" s="111"/>
      <c r="V92" s="111"/>
      <c r="W92" s="111"/>
      <c r="X92" s="19">
        <f t="shared" si="52"/>
        <v>0</v>
      </c>
      <c r="Y92" s="112"/>
    </row>
    <row r="93" spans="1:26" ht="33.75">
      <c r="A93" s="90" t="s">
        <v>234</v>
      </c>
      <c r="B93" s="91" t="s">
        <v>242</v>
      </c>
      <c r="C93" s="91"/>
      <c r="D93" s="92" t="s">
        <v>520</v>
      </c>
      <c r="E93" s="19">
        <f t="shared" ref="E93:W93" si="53">E94+E95+E96+E97</f>
        <v>85</v>
      </c>
      <c r="F93" s="19">
        <f t="shared" si="53"/>
        <v>84</v>
      </c>
      <c r="G93" s="19">
        <f t="shared" si="53"/>
        <v>60</v>
      </c>
      <c r="H93" s="19">
        <f t="shared" si="53"/>
        <v>74</v>
      </c>
      <c r="I93" s="19">
        <f>I94+I95+I96+I97</f>
        <v>11</v>
      </c>
      <c r="J93" s="19">
        <f t="shared" si="53"/>
        <v>99</v>
      </c>
      <c r="K93" s="19">
        <f t="shared" si="53"/>
        <v>81</v>
      </c>
      <c r="L93" s="19">
        <f t="shared" si="53"/>
        <v>48</v>
      </c>
      <c r="M93" s="19">
        <f>M94+M95+M96+M97</f>
        <v>92</v>
      </c>
      <c r="N93" s="19">
        <f t="shared" si="53"/>
        <v>61</v>
      </c>
      <c r="O93" s="19">
        <f t="shared" si="53"/>
        <v>58</v>
      </c>
      <c r="P93" s="19">
        <f t="shared" si="53"/>
        <v>61</v>
      </c>
      <c r="Q93" s="19">
        <f t="shared" si="53"/>
        <v>55</v>
      </c>
      <c r="R93" s="19">
        <f t="shared" si="53"/>
        <v>17</v>
      </c>
      <c r="S93" s="19">
        <f t="shared" si="53"/>
        <v>23</v>
      </c>
      <c r="T93" s="19">
        <f t="shared" si="53"/>
        <v>23</v>
      </c>
      <c r="U93" s="19">
        <f t="shared" si="53"/>
        <v>38</v>
      </c>
      <c r="V93" s="19">
        <f t="shared" si="53"/>
        <v>36</v>
      </c>
      <c r="W93" s="19">
        <f t="shared" si="53"/>
        <v>6</v>
      </c>
      <c r="X93" s="19">
        <f t="shared" si="52"/>
        <v>1012</v>
      </c>
      <c r="Y93" s="93"/>
      <c r="Z93" s="86">
        <v>1012</v>
      </c>
    </row>
    <row r="94" spans="1:26">
      <c r="A94" s="90" t="s">
        <v>236</v>
      </c>
      <c r="B94" s="113" t="s">
        <v>245</v>
      </c>
      <c r="C94" s="113"/>
      <c r="D94" s="98"/>
      <c r="E94" s="99">
        <v>85</v>
      </c>
      <c r="F94" s="99">
        <v>84</v>
      </c>
      <c r="G94" s="99">
        <v>31</v>
      </c>
      <c r="H94" s="99">
        <v>74</v>
      </c>
      <c r="I94" s="99">
        <v>11</v>
      </c>
      <c r="J94" s="99"/>
      <c r="K94" s="99"/>
      <c r="L94" s="99"/>
      <c r="M94" s="99"/>
      <c r="N94" s="99"/>
      <c r="O94" s="99"/>
      <c r="P94" s="99"/>
      <c r="Q94" s="99"/>
      <c r="R94" s="99"/>
      <c r="S94" s="99"/>
      <c r="T94" s="99"/>
      <c r="U94" s="99"/>
      <c r="V94" s="99"/>
      <c r="W94" s="99"/>
      <c r="X94" s="19">
        <f t="shared" si="52"/>
        <v>285</v>
      </c>
      <c r="Y94" s="93"/>
      <c r="Z94" s="86">
        <v>285</v>
      </c>
    </row>
    <row r="95" spans="1:26">
      <c r="A95" s="90" t="s">
        <v>239</v>
      </c>
      <c r="B95" s="113" t="s">
        <v>247</v>
      </c>
      <c r="C95" s="113"/>
      <c r="D95" s="92"/>
      <c r="E95" s="22"/>
      <c r="F95" s="22"/>
      <c r="G95" s="22">
        <v>29</v>
      </c>
      <c r="H95" s="22"/>
      <c r="I95" s="22"/>
      <c r="J95" s="22">
        <v>99</v>
      </c>
      <c r="K95" s="22">
        <v>81</v>
      </c>
      <c r="L95" s="22">
        <v>48</v>
      </c>
      <c r="M95" s="22">
        <v>92</v>
      </c>
      <c r="N95" s="22">
        <v>61</v>
      </c>
      <c r="O95" s="22"/>
      <c r="P95" s="22"/>
      <c r="Q95" s="22"/>
      <c r="R95" s="22"/>
      <c r="S95" s="22"/>
      <c r="T95" s="22"/>
      <c r="U95" s="22"/>
      <c r="V95" s="22"/>
      <c r="W95" s="22"/>
      <c r="X95" s="19">
        <f t="shared" si="52"/>
        <v>410</v>
      </c>
      <c r="Y95" s="93"/>
      <c r="Z95" s="86">
        <v>410</v>
      </c>
    </row>
    <row r="96" spans="1:26">
      <c r="A96" s="90" t="s">
        <v>241</v>
      </c>
      <c r="B96" s="113" t="s">
        <v>249</v>
      </c>
      <c r="C96" s="113"/>
      <c r="D96" s="98"/>
      <c r="E96" s="99"/>
      <c r="F96" s="99"/>
      <c r="G96" s="99"/>
      <c r="H96" s="99"/>
      <c r="I96" s="99"/>
      <c r="J96" s="99"/>
      <c r="K96" s="99"/>
      <c r="L96" s="99"/>
      <c r="M96" s="99"/>
      <c r="N96" s="99"/>
      <c r="O96" s="99">
        <v>58</v>
      </c>
      <c r="P96" s="99">
        <v>61</v>
      </c>
      <c r="Q96" s="99">
        <v>55</v>
      </c>
      <c r="R96" s="99">
        <v>17</v>
      </c>
      <c r="S96" s="99">
        <v>23</v>
      </c>
      <c r="T96" s="99">
        <v>23</v>
      </c>
      <c r="U96" s="99">
        <v>38</v>
      </c>
      <c r="V96" s="99">
        <v>36</v>
      </c>
      <c r="W96" s="99"/>
      <c r="X96" s="19">
        <f t="shared" si="52"/>
        <v>311</v>
      </c>
      <c r="Y96" s="93"/>
      <c r="Z96" s="86">
        <v>311</v>
      </c>
    </row>
    <row r="97" spans="1:26">
      <c r="A97" s="90" t="s">
        <v>244</v>
      </c>
      <c r="B97" s="113" t="s">
        <v>251</v>
      </c>
      <c r="C97" s="113"/>
      <c r="D97" s="98"/>
      <c r="E97" s="99"/>
      <c r="F97" s="99"/>
      <c r="G97" s="99"/>
      <c r="H97" s="99"/>
      <c r="I97" s="99"/>
      <c r="J97" s="99"/>
      <c r="K97" s="99"/>
      <c r="L97" s="99"/>
      <c r="M97" s="99"/>
      <c r="N97" s="99"/>
      <c r="O97" s="99"/>
      <c r="P97" s="99"/>
      <c r="Q97" s="99"/>
      <c r="R97" s="99"/>
      <c r="S97" s="99"/>
      <c r="T97" s="99"/>
      <c r="U97" s="99"/>
      <c r="V97" s="99"/>
      <c r="W97" s="99">
        <v>6</v>
      </c>
      <c r="X97" s="19">
        <f t="shared" si="52"/>
        <v>6</v>
      </c>
      <c r="Y97" s="93"/>
      <c r="Z97" s="86">
        <v>6</v>
      </c>
    </row>
    <row r="98" spans="1:26" ht="45">
      <c r="A98" s="90" t="s">
        <v>246</v>
      </c>
      <c r="B98" s="91" t="s">
        <v>253</v>
      </c>
      <c r="C98" s="91"/>
      <c r="D98" s="92" t="s">
        <v>521</v>
      </c>
      <c r="E98" s="19">
        <f>E99+E100+E101+E102</f>
        <v>931</v>
      </c>
      <c r="F98" s="19">
        <f t="shared" ref="F98:W98" si="54">F99+F100+F101+F102</f>
        <v>961</v>
      </c>
      <c r="G98" s="19">
        <f t="shared" si="54"/>
        <v>832</v>
      </c>
      <c r="H98" s="19">
        <f t="shared" si="54"/>
        <v>979</v>
      </c>
      <c r="I98" s="19">
        <f t="shared" si="54"/>
        <v>144</v>
      </c>
      <c r="J98" s="19">
        <f t="shared" si="54"/>
        <v>1493</v>
      </c>
      <c r="K98" s="19">
        <f t="shared" si="54"/>
        <v>1094</v>
      </c>
      <c r="L98" s="19">
        <f t="shared" si="54"/>
        <v>813</v>
      </c>
      <c r="M98" s="19">
        <f t="shared" si="54"/>
        <v>1378</v>
      </c>
      <c r="N98" s="19">
        <f t="shared" si="54"/>
        <v>971</v>
      </c>
      <c r="O98" s="19">
        <f t="shared" si="54"/>
        <v>670</v>
      </c>
      <c r="P98" s="19">
        <f t="shared" si="54"/>
        <v>911</v>
      </c>
      <c r="Q98" s="19">
        <f>Q99+Q100+Q101+Q102</f>
        <v>705</v>
      </c>
      <c r="R98" s="19">
        <f t="shared" si="54"/>
        <v>205</v>
      </c>
      <c r="S98" s="19">
        <f t="shared" si="54"/>
        <v>358</v>
      </c>
      <c r="T98" s="19">
        <f>T99+T100+T101+T102</f>
        <v>367</v>
      </c>
      <c r="U98" s="19">
        <f t="shared" si="54"/>
        <v>478</v>
      </c>
      <c r="V98" s="19">
        <f>V99+V100+V101+V102</f>
        <v>551</v>
      </c>
      <c r="W98" s="19">
        <f t="shared" si="54"/>
        <v>0</v>
      </c>
      <c r="X98" s="19">
        <f t="shared" si="52"/>
        <v>13841</v>
      </c>
      <c r="Y98" s="93"/>
    </row>
    <row r="99" spans="1:26">
      <c r="A99" s="90" t="s">
        <v>248</v>
      </c>
      <c r="B99" s="113" t="s">
        <v>245</v>
      </c>
      <c r="C99" s="113"/>
      <c r="D99" s="98"/>
      <c r="E99" s="99">
        <v>931</v>
      </c>
      <c r="F99" s="99">
        <v>961</v>
      </c>
      <c r="G99" s="99">
        <v>361</v>
      </c>
      <c r="H99" s="99">
        <v>979</v>
      </c>
      <c r="I99" s="99">
        <v>144</v>
      </c>
      <c r="J99" s="99"/>
      <c r="K99" s="99"/>
      <c r="L99" s="99"/>
      <c r="M99" s="99"/>
      <c r="N99" s="99"/>
      <c r="O99" s="99"/>
      <c r="P99" s="99"/>
      <c r="Q99" s="99"/>
      <c r="R99" s="99"/>
      <c r="S99" s="99"/>
      <c r="T99" s="99"/>
      <c r="U99" s="99"/>
      <c r="V99" s="99"/>
      <c r="W99" s="99"/>
      <c r="X99" s="19">
        <f t="shared" si="52"/>
        <v>3376</v>
      </c>
      <c r="Y99" s="93"/>
    </row>
    <row r="100" spans="1:26">
      <c r="A100" s="90" t="s">
        <v>250</v>
      </c>
      <c r="B100" s="113" t="s">
        <v>247</v>
      </c>
      <c r="C100" s="113"/>
      <c r="D100" s="92"/>
      <c r="E100" s="22"/>
      <c r="F100" s="22"/>
      <c r="G100" s="22">
        <v>471</v>
      </c>
      <c r="H100" s="22"/>
      <c r="I100" s="22"/>
      <c r="J100" s="22">
        <v>1493</v>
      </c>
      <c r="K100" s="22">
        <v>1094</v>
      </c>
      <c r="L100" s="22">
        <v>813</v>
      </c>
      <c r="M100" s="22">
        <v>1378</v>
      </c>
      <c r="N100" s="22">
        <v>971</v>
      </c>
      <c r="O100" s="22"/>
      <c r="P100" s="22"/>
      <c r="Q100" s="22"/>
      <c r="R100" s="22"/>
      <c r="S100" s="22"/>
      <c r="T100" s="22"/>
      <c r="U100" s="22"/>
      <c r="V100" s="22"/>
      <c r="W100" s="22"/>
      <c r="X100" s="19">
        <f t="shared" si="52"/>
        <v>6220</v>
      </c>
      <c r="Y100" s="93"/>
    </row>
    <row r="101" spans="1:26">
      <c r="A101" s="90" t="s">
        <v>252</v>
      </c>
      <c r="B101" s="113" t="s">
        <v>249</v>
      </c>
      <c r="C101" s="113"/>
      <c r="D101" s="98"/>
      <c r="E101" s="99"/>
      <c r="F101" s="99"/>
      <c r="G101" s="99"/>
      <c r="H101" s="99"/>
      <c r="I101" s="99"/>
      <c r="J101" s="99"/>
      <c r="K101" s="99"/>
      <c r="L101" s="99"/>
      <c r="M101" s="99"/>
      <c r="N101" s="99"/>
      <c r="O101" s="99">
        <v>670</v>
      </c>
      <c r="P101" s="99">
        <v>911</v>
      </c>
      <c r="Q101" s="99">
        <v>705</v>
      </c>
      <c r="R101" s="99">
        <v>205</v>
      </c>
      <c r="S101" s="99">
        <v>358</v>
      </c>
      <c r="T101" s="99">
        <v>367</v>
      </c>
      <c r="U101" s="99">
        <v>478</v>
      </c>
      <c r="V101" s="99">
        <v>551</v>
      </c>
      <c r="W101" s="99"/>
      <c r="X101" s="19">
        <f t="shared" si="52"/>
        <v>4245</v>
      </c>
      <c r="Y101" s="93"/>
    </row>
    <row r="102" spans="1:26">
      <c r="A102" s="90" t="s">
        <v>255</v>
      </c>
      <c r="B102" s="113" t="s">
        <v>251</v>
      </c>
      <c r="C102" s="113"/>
      <c r="D102" s="98"/>
      <c r="E102" s="99"/>
      <c r="F102" s="99"/>
      <c r="G102" s="99"/>
      <c r="H102" s="99"/>
      <c r="I102" s="99"/>
      <c r="J102" s="99"/>
      <c r="K102" s="99"/>
      <c r="L102" s="99"/>
      <c r="M102" s="99"/>
      <c r="N102" s="99"/>
      <c r="O102" s="99"/>
      <c r="P102" s="99"/>
      <c r="Q102" s="99"/>
      <c r="R102" s="99"/>
      <c r="S102" s="99"/>
      <c r="T102" s="99"/>
      <c r="U102" s="99"/>
      <c r="V102" s="99"/>
      <c r="W102" s="99"/>
      <c r="X102" s="19">
        <f t="shared" si="52"/>
        <v>0</v>
      </c>
      <c r="Y102" s="93"/>
    </row>
    <row r="103" spans="1:26">
      <c r="A103" s="90" t="s">
        <v>256</v>
      </c>
      <c r="B103" s="91" t="s">
        <v>260</v>
      </c>
      <c r="C103" s="91"/>
      <c r="D103" s="102"/>
      <c r="E103" s="114"/>
      <c r="F103" s="114"/>
      <c r="G103" s="114"/>
      <c r="H103" s="114"/>
      <c r="I103" s="114"/>
      <c r="J103" s="114"/>
      <c r="K103" s="114"/>
      <c r="L103" s="114"/>
      <c r="M103" s="114"/>
      <c r="N103" s="114"/>
      <c r="O103" s="114"/>
      <c r="P103" s="114"/>
      <c r="Q103" s="114"/>
      <c r="R103" s="114"/>
      <c r="S103" s="114"/>
      <c r="T103" s="114"/>
      <c r="U103" s="114"/>
      <c r="V103" s="114"/>
      <c r="W103" s="114"/>
      <c r="X103" s="19">
        <f t="shared" si="52"/>
        <v>0</v>
      </c>
      <c r="Y103" s="93"/>
    </row>
    <row r="104" spans="1:26">
      <c r="A104" s="90" t="s">
        <v>257</v>
      </c>
      <c r="B104" s="91" t="s">
        <v>261</v>
      </c>
      <c r="C104" s="91"/>
      <c r="D104" s="92"/>
      <c r="E104" s="22">
        <v>66</v>
      </c>
      <c r="F104" s="22">
        <v>66</v>
      </c>
      <c r="G104" s="22"/>
      <c r="H104" s="22"/>
      <c r="I104" s="22"/>
      <c r="J104" s="22">
        <v>99</v>
      </c>
      <c r="K104" s="22">
        <v>102</v>
      </c>
      <c r="L104" s="22"/>
      <c r="M104" s="22"/>
      <c r="N104" s="22"/>
      <c r="O104" s="22">
        <v>25</v>
      </c>
      <c r="P104" s="22">
        <v>23</v>
      </c>
      <c r="Q104" s="22"/>
      <c r="R104" s="22"/>
      <c r="S104" s="22"/>
      <c r="T104" s="22"/>
      <c r="U104" s="22"/>
      <c r="V104" s="22"/>
      <c r="W104" s="22">
        <v>18</v>
      </c>
      <c r="X104" s="19">
        <f t="shared" si="52"/>
        <v>399</v>
      </c>
      <c r="Y104" s="93"/>
    </row>
    <row r="105" spans="1:26">
      <c r="A105" s="90" t="s">
        <v>258</v>
      </c>
      <c r="B105" s="113" t="s">
        <v>262</v>
      </c>
      <c r="C105" s="113"/>
      <c r="D105" s="102"/>
      <c r="E105" s="22">
        <v>17063</v>
      </c>
      <c r="F105" s="22">
        <v>11923</v>
      </c>
      <c r="G105" s="22">
        <v>47723.69</v>
      </c>
      <c r="H105" s="22">
        <v>12788.7</v>
      </c>
      <c r="I105" s="22">
        <v>15865.86</v>
      </c>
      <c r="J105" s="22">
        <v>23546.35</v>
      </c>
      <c r="K105" s="22">
        <v>16490.189999999999</v>
      </c>
      <c r="L105" s="22">
        <v>16648.97</v>
      </c>
      <c r="M105" s="22">
        <v>21871.439999999999</v>
      </c>
      <c r="N105" s="22">
        <v>11914.29</v>
      </c>
      <c r="O105" s="22">
        <v>7654.77</v>
      </c>
      <c r="P105" s="22">
        <v>12113.78</v>
      </c>
      <c r="Q105" s="22">
        <v>10438.120000000001</v>
      </c>
      <c r="R105" s="22">
        <v>6080</v>
      </c>
      <c r="S105" s="22">
        <v>5747.79</v>
      </c>
      <c r="T105" s="22">
        <v>11939.6</v>
      </c>
      <c r="U105" s="22">
        <v>11286</v>
      </c>
      <c r="V105" s="22">
        <v>13520</v>
      </c>
      <c r="W105" s="22">
        <v>5648</v>
      </c>
      <c r="X105" s="19">
        <f t="shared" si="52"/>
        <v>280263.55000000005</v>
      </c>
      <c r="Y105" s="93"/>
    </row>
    <row r="106" spans="1:26">
      <c r="A106" s="90" t="s">
        <v>259</v>
      </c>
      <c r="B106" s="113" t="s">
        <v>263</v>
      </c>
      <c r="C106" s="113"/>
      <c r="D106" s="102"/>
      <c r="E106" s="22">
        <v>15829</v>
      </c>
      <c r="F106" s="22">
        <v>10360</v>
      </c>
      <c r="G106" s="22">
        <v>16263</v>
      </c>
      <c r="H106" s="22">
        <v>10179</v>
      </c>
      <c r="I106" s="22">
        <v>8547.4500000000007</v>
      </c>
      <c r="J106" s="22">
        <v>19712</v>
      </c>
      <c r="K106" s="22">
        <v>11160</v>
      </c>
      <c r="L106" s="22">
        <v>11125</v>
      </c>
      <c r="M106" s="22">
        <v>15700</v>
      </c>
      <c r="N106" s="22">
        <v>8447.1</v>
      </c>
      <c r="O106" s="22">
        <v>5134</v>
      </c>
      <c r="P106" s="22">
        <v>4330</v>
      </c>
      <c r="Q106" s="22">
        <v>4266</v>
      </c>
      <c r="R106" s="22">
        <v>2500</v>
      </c>
      <c r="S106" s="22">
        <v>2519</v>
      </c>
      <c r="T106" s="22">
        <v>4999</v>
      </c>
      <c r="U106" s="22">
        <v>4627.34</v>
      </c>
      <c r="V106" s="22">
        <v>5045</v>
      </c>
      <c r="W106" s="22">
        <v>2320</v>
      </c>
      <c r="X106" s="19">
        <f t="shared" si="52"/>
        <v>163062.88999999998</v>
      </c>
      <c r="Y106" s="93"/>
    </row>
    <row r="107" spans="1:26">
      <c r="E107" s="86">
        <f t="shared" ref="E107:X107" si="55">E4/E93</f>
        <v>352227.89294117643</v>
      </c>
      <c r="F107" s="86">
        <f t="shared" si="55"/>
        <v>354780.29130952386</v>
      </c>
      <c r="G107" s="86">
        <f t="shared" si="55"/>
        <v>337276.30083333334</v>
      </c>
      <c r="H107" s="86">
        <f t="shared" si="55"/>
        <v>337169.33648648654</v>
      </c>
      <c r="I107" s="86">
        <f t="shared" si="55"/>
        <v>298220.30545454542</v>
      </c>
      <c r="J107" s="86">
        <f t="shared" si="55"/>
        <v>339855.60333333339</v>
      </c>
      <c r="K107" s="86">
        <f t="shared" si="55"/>
        <v>338156.7904938272</v>
      </c>
      <c r="L107" s="86">
        <f t="shared" si="55"/>
        <v>335305.47416666668</v>
      </c>
      <c r="M107" s="86">
        <f t="shared" si="55"/>
        <v>338472.80630434782</v>
      </c>
      <c r="N107" s="86">
        <f t="shared" si="55"/>
        <v>330556.32524590165</v>
      </c>
      <c r="O107" s="86">
        <f t="shared" si="55"/>
        <v>315525.71741379309</v>
      </c>
      <c r="P107" s="86">
        <f t="shared" si="55"/>
        <v>315751.01262295083</v>
      </c>
      <c r="Q107" s="86">
        <f t="shared" si="55"/>
        <v>306328.60327272728</v>
      </c>
      <c r="R107" s="86">
        <f t="shared" si="55"/>
        <v>327815.26529411762</v>
      </c>
      <c r="S107" s="86">
        <f t="shared" si="55"/>
        <v>317425.32347826083</v>
      </c>
      <c r="T107" s="86">
        <f t="shared" si="55"/>
        <v>310922.95347826084</v>
      </c>
      <c r="U107" s="86">
        <f t="shared" si="55"/>
        <v>305764.5802631579</v>
      </c>
      <c r="V107" s="86">
        <f t="shared" si="55"/>
        <v>314842.61277777771</v>
      </c>
      <c r="W107" s="86">
        <f t="shared" si="55"/>
        <v>346791.34500000003</v>
      </c>
      <c r="X107" s="86">
        <f t="shared" si="55"/>
        <v>332125.82197628461</v>
      </c>
    </row>
  </sheetData>
  <protectedRanges>
    <protectedRange password="E9C1" sqref="D28 X21:Y26 Y20 Y10 Y27 X2:Y9 A2:D5 X11:Y19 B6:D26 X28:Y106 B30:D106 A6:A106" name="区域1_1"/>
    <protectedRange password="E9C1" sqref="B27:C29" name="区域1_1_1"/>
    <protectedRange password="E9C1" sqref="D27" name="区域1"/>
    <protectedRange password="E9C1" sqref="D29" name="区域1_2"/>
    <protectedRange password="E9C1" sqref="O2:O3" name="区域1_1_17"/>
    <protectedRange password="E9C1" sqref="F2:F3" name="区域1_1_2"/>
    <protectedRange password="E9C1" sqref="U2:U3" name="区域1_1_7"/>
    <protectedRange password="E9C1" sqref="P2:P3" name="区域1_1_21"/>
    <protectedRange password="E9C1" sqref="W2:W3" name="区域1_1_22"/>
    <protectedRange password="E9C1" sqref="H2:H3" name="区域1_1_5"/>
    <protectedRange password="E9C1" sqref="G2:G3" name="区域1_1_13"/>
    <protectedRange password="E9C1" sqref="R2:R3" name="区域1_1_3"/>
    <protectedRange password="E9C1" sqref="S2:S3" name="区域1_1_4"/>
    <protectedRange password="E9C1" sqref="L2:L3" name="区域1_1_6"/>
    <protectedRange password="E9C1" sqref="Q2:Q3" name="区域1_1_11"/>
    <protectedRange password="E9C1" sqref="N2:N3" name="区域1_1_12"/>
    <protectedRange password="E9C1" sqref="T2:T3" name="区域1_1_9"/>
    <protectedRange password="E9C1" sqref="V2:V3" name="区域1_1_10"/>
    <protectedRange password="E9C1" sqref="J2:J3" name="区域1_1_14"/>
    <protectedRange password="E9C1" sqref="E2:E3" name="区域1_1_16"/>
    <protectedRange password="E9C1" sqref="K2:K3" name="区域1_1_23"/>
    <protectedRange password="E9C1" sqref="I2:I3" name="区域1_1_8"/>
    <protectedRange password="E9C1" sqref="M2:M3" name="区域1_1_15"/>
  </protectedRanges>
  <mergeCells count="1">
    <mergeCell ref="A1:Y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65" orientation="landscape" r:id="rId1"/>
  <headerFooter>
    <oddFooter>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07"/>
  <sheetViews>
    <sheetView workbookViewId="0">
      <pane xSplit="4" ySplit="2" topLeftCell="O77" activePane="bottomRight" state="frozen"/>
      <selection pane="topRight" activeCell="E1" sqref="E1"/>
      <selection pane="bottomLeft" activeCell="A3" sqref="A3"/>
      <selection pane="bottomRight" activeCell="V77" sqref="V77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24" ht="25.5">
      <c r="A1" s="343" t="s">
        <v>0</v>
      </c>
      <c r="B1" s="344"/>
      <c r="C1" s="344"/>
      <c r="D1" s="344"/>
      <c r="E1" s="344"/>
      <c r="F1" s="344"/>
      <c r="G1" s="344"/>
      <c r="H1" s="344"/>
      <c r="I1" s="344"/>
      <c r="J1" s="344"/>
      <c r="K1" s="344"/>
      <c r="L1" s="344"/>
      <c r="M1" s="344"/>
      <c r="N1" s="344"/>
      <c r="O1" s="344"/>
      <c r="P1" s="344"/>
      <c r="Q1" s="344"/>
      <c r="R1" s="344"/>
      <c r="S1" s="344"/>
      <c r="T1" s="344"/>
      <c r="U1" s="344"/>
      <c r="V1" s="344"/>
      <c r="W1" s="344"/>
      <c r="X1" s="344"/>
    </row>
    <row r="2" spans="1:24" ht="30" customHeight="1">
      <c r="A2" s="2" t="s">
        <v>1</v>
      </c>
      <c r="B2" s="2" t="s">
        <v>2</v>
      </c>
      <c r="C2" s="2" t="s">
        <v>3</v>
      </c>
      <c r="D2" s="3" t="s">
        <v>4</v>
      </c>
      <c r="E2" s="37" t="s">
        <v>669</v>
      </c>
      <c r="F2" s="37" t="s">
        <v>670</v>
      </c>
      <c r="G2" s="37" t="s">
        <v>671</v>
      </c>
      <c r="H2" s="37" t="s">
        <v>672</v>
      </c>
      <c r="I2" s="37" t="s">
        <v>673</v>
      </c>
      <c r="J2" s="37" t="s">
        <v>674</v>
      </c>
      <c r="K2" s="37" t="s">
        <v>675</v>
      </c>
      <c r="L2" s="37" t="s">
        <v>676</v>
      </c>
      <c r="M2" s="37" t="s">
        <v>677</v>
      </c>
      <c r="N2" s="37" t="s">
        <v>678</v>
      </c>
      <c r="O2" s="37" t="s">
        <v>679</v>
      </c>
      <c r="P2" s="37" t="s">
        <v>680</v>
      </c>
      <c r="Q2" s="37" t="s">
        <v>681</v>
      </c>
      <c r="R2" s="37" t="s">
        <v>682</v>
      </c>
      <c r="S2" s="37" t="s">
        <v>683</v>
      </c>
      <c r="T2" s="37" t="s">
        <v>684</v>
      </c>
      <c r="U2" s="37" t="s">
        <v>685</v>
      </c>
      <c r="V2" s="3" t="s">
        <v>686</v>
      </c>
      <c r="W2" s="3" t="s">
        <v>24</v>
      </c>
      <c r="X2" s="4" t="s">
        <v>25</v>
      </c>
    </row>
    <row r="3" spans="1:24">
      <c r="A3" s="5" t="s">
        <v>26</v>
      </c>
      <c r="B3" s="6" t="s">
        <v>27</v>
      </c>
      <c r="C3" s="6"/>
      <c r="D3" s="7" t="s">
        <v>28</v>
      </c>
      <c r="E3" s="8">
        <f t="shared" ref="E3:V3" si="0">E4+E30+E49</f>
        <v>25749371.010000002</v>
      </c>
      <c r="F3" s="8">
        <f t="shared" si="0"/>
        <v>28647437.279999997</v>
      </c>
      <c r="G3" s="8">
        <f t="shared" si="0"/>
        <v>31375353.080000002</v>
      </c>
      <c r="H3" s="8">
        <f t="shared" si="0"/>
        <v>31265195.859999999</v>
      </c>
      <c r="I3" s="8">
        <f t="shared" si="0"/>
        <v>32473392.98</v>
      </c>
      <c r="J3" s="8">
        <f t="shared" si="0"/>
        <v>25284351.819999997</v>
      </c>
      <c r="K3" s="8">
        <f t="shared" si="0"/>
        <v>46585324.780000001</v>
      </c>
      <c r="L3" s="8">
        <f t="shared" si="0"/>
        <v>22068860.960000001</v>
      </c>
      <c r="M3" s="8">
        <f t="shared" si="0"/>
        <v>16631664.440000001</v>
      </c>
      <c r="N3" s="8">
        <f t="shared" si="0"/>
        <v>25018408.670000002</v>
      </c>
      <c r="O3" s="8">
        <f t="shared" si="0"/>
        <v>7722931.7199999997</v>
      </c>
      <c r="P3" s="8">
        <f t="shared" si="0"/>
        <v>17813558.870000001</v>
      </c>
      <c r="Q3" s="8">
        <f t="shared" si="0"/>
        <v>9056616.3200000003</v>
      </c>
      <c r="R3" s="8">
        <f t="shared" si="0"/>
        <v>14053529.360000001</v>
      </c>
      <c r="S3" s="8">
        <f t="shared" si="0"/>
        <v>6119342.3300000001</v>
      </c>
      <c r="T3" s="8">
        <f t="shared" si="0"/>
        <v>2660989.8099999996</v>
      </c>
      <c r="U3" s="8">
        <f t="shared" si="0"/>
        <v>1584680.39</v>
      </c>
      <c r="V3" s="8">
        <f t="shared" si="0"/>
        <v>26971562</v>
      </c>
      <c r="W3" s="8">
        <f t="shared" ref="W3:W9" si="1">SUM(E3:V3)</f>
        <v>371082571.68000001</v>
      </c>
      <c r="X3" s="9"/>
    </row>
    <row r="4" spans="1:24">
      <c r="A4" s="5" t="s">
        <v>29</v>
      </c>
      <c r="B4" s="6" t="s">
        <v>30</v>
      </c>
      <c r="C4" s="6"/>
      <c r="D4" s="7" t="s">
        <v>28</v>
      </c>
      <c r="E4" s="8">
        <f t="shared" ref="E4:V4" si="2">E5+E8+E12+E15+E18+E20+E23+E25+E27+E28+E29</f>
        <v>22602975.420000002</v>
      </c>
      <c r="F4" s="8">
        <f t="shared" si="2"/>
        <v>25108542.339999996</v>
      </c>
      <c r="G4" s="8">
        <f t="shared" si="2"/>
        <v>26976782.170000002</v>
      </c>
      <c r="H4" s="8">
        <f t="shared" si="2"/>
        <v>26043333.419999998</v>
      </c>
      <c r="I4" s="8">
        <f t="shared" si="2"/>
        <v>28849508.350000001</v>
      </c>
      <c r="J4" s="8">
        <f t="shared" si="2"/>
        <v>21999882.279999997</v>
      </c>
      <c r="K4" s="8">
        <f t="shared" si="2"/>
        <v>39683083.550000004</v>
      </c>
      <c r="L4" s="8">
        <f t="shared" si="2"/>
        <v>19072322.600000001</v>
      </c>
      <c r="M4" s="8">
        <f t="shared" si="2"/>
        <v>14578001.950000001</v>
      </c>
      <c r="N4" s="8">
        <f t="shared" si="2"/>
        <v>21575436.670000002</v>
      </c>
      <c r="O4" s="8">
        <f t="shared" si="2"/>
        <v>6541660.9900000002</v>
      </c>
      <c r="P4" s="8">
        <f t="shared" si="2"/>
        <v>15547431.83</v>
      </c>
      <c r="Q4" s="8">
        <f t="shared" si="2"/>
        <v>7842519.1600000001</v>
      </c>
      <c r="R4" s="8">
        <f t="shared" si="2"/>
        <v>12098061.140000001</v>
      </c>
      <c r="S4" s="8">
        <f t="shared" si="2"/>
        <v>4989804.1900000004</v>
      </c>
      <c r="T4" s="8">
        <f t="shared" si="2"/>
        <v>1602278.0999999999</v>
      </c>
      <c r="U4" s="8">
        <f t="shared" si="2"/>
        <v>1401708.96</v>
      </c>
      <c r="V4" s="8">
        <f t="shared" si="2"/>
        <v>23334962.370000001</v>
      </c>
      <c r="W4" s="8">
        <f t="shared" si="1"/>
        <v>319848295.49000001</v>
      </c>
      <c r="X4" s="9"/>
    </row>
    <row r="5" spans="1:24">
      <c r="A5" s="5" t="s">
        <v>31</v>
      </c>
      <c r="B5" s="6" t="s">
        <v>32</v>
      </c>
      <c r="C5" s="6"/>
      <c r="D5" s="7" t="s">
        <v>28</v>
      </c>
      <c r="E5" s="8">
        <f>E6+E7</f>
        <v>3292824</v>
      </c>
      <c r="F5" s="8">
        <f t="shared" ref="F5:V5" si="3">F6+F7</f>
        <v>3491040</v>
      </c>
      <c r="G5" s="8">
        <f t="shared" si="3"/>
        <v>3211944</v>
      </c>
      <c r="H5" s="8">
        <f t="shared" si="3"/>
        <v>3539124</v>
      </c>
      <c r="I5" s="8">
        <f t="shared" si="3"/>
        <v>4399164</v>
      </c>
      <c r="J5" s="8">
        <f t="shared" si="3"/>
        <v>2898156</v>
      </c>
      <c r="K5" s="8">
        <f t="shared" si="3"/>
        <v>4829472</v>
      </c>
      <c r="L5" s="8">
        <f t="shared" si="3"/>
        <v>2550564</v>
      </c>
      <c r="M5" s="8">
        <f t="shared" si="3"/>
        <v>2073588</v>
      </c>
      <c r="N5" s="8">
        <f t="shared" si="3"/>
        <v>2819604</v>
      </c>
      <c r="O5" s="8">
        <f t="shared" si="3"/>
        <v>781464</v>
      </c>
      <c r="P5" s="8">
        <f t="shared" si="3"/>
        <v>2014860</v>
      </c>
      <c r="Q5" s="8">
        <f t="shared" si="3"/>
        <v>989424</v>
      </c>
      <c r="R5" s="8">
        <f t="shared" si="3"/>
        <v>1596168</v>
      </c>
      <c r="S5" s="8">
        <f t="shared" si="3"/>
        <v>629076</v>
      </c>
      <c r="T5" s="8">
        <f t="shared" si="3"/>
        <v>187152</v>
      </c>
      <c r="U5" s="8">
        <f t="shared" si="3"/>
        <v>176508</v>
      </c>
      <c r="V5" s="8">
        <f t="shared" si="3"/>
        <v>3084600</v>
      </c>
      <c r="W5" s="8">
        <f t="shared" si="1"/>
        <v>42564732</v>
      </c>
      <c r="X5" s="9"/>
    </row>
    <row r="6" spans="1:24">
      <c r="A6" s="5" t="s">
        <v>33</v>
      </c>
      <c r="B6" s="6" t="s">
        <v>34</v>
      </c>
      <c r="C6" s="6" t="s">
        <v>35</v>
      </c>
      <c r="D6" s="7" t="s">
        <v>36</v>
      </c>
      <c r="E6" s="10">
        <v>1765584</v>
      </c>
      <c r="F6" s="10">
        <v>2065380</v>
      </c>
      <c r="G6" s="10">
        <v>2097348</v>
      </c>
      <c r="H6" s="10">
        <v>1889628</v>
      </c>
      <c r="I6" s="10">
        <v>2155812</v>
      </c>
      <c r="J6" s="10">
        <v>1669104</v>
      </c>
      <c r="K6" s="10">
        <v>2963544</v>
      </c>
      <c r="L6" s="10">
        <v>1481748</v>
      </c>
      <c r="M6" s="10">
        <v>1152612</v>
      </c>
      <c r="N6" s="10">
        <v>1730568</v>
      </c>
      <c r="O6" s="10">
        <v>497376</v>
      </c>
      <c r="P6" s="10">
        <v>1257696</v>
      </c>
      <c r="Q6" s="10">
        <v>616836</v>
      </c>
      <c r="R6" s="10">
        <v>986376</v>
      </c>
      <c r="S6" s="10">
        <v>392244</v>
      </c>
      <c r="T6" s="10">
        <v>121836</v>
      </c>
      <c r="U6" s="10">
        <v>102036</v>
      </c>
      <c r="V6" s="10">
        <v>1709208</v>
      </c>
      <c r="W6" s="8">
        <f t="shared" si="1"/>
        <v>24654936</v>
      </c>
      <c r="X6" s="11"/>
    </row>
    <row r="7" spans="1:24">
      <c r="A7" s="5" t="s">
        <v>37</v>
      </c>
      <c r="B7" s="6" t="s">
        <v>38</v>
      </c>
      <c r="C7" s="6" t="s">
        <v>35</v>
      </c>
      <c r="D7" s="7" t="s">
        <v>36</v>
      </c>
      <c r="E7" s="10">
        <v>1527240</v>
      </c>
      <c r="F7" s="10">
        <v>1425660</v>
      </c>
      <c r="G7" s="10">
        <v>1114596</v>
      </c>
      <c r="H7" s="10">
        <v>1649496</v>
      </c>
      <c r="I7" s="10">
        <v>2243352</v>
      </c>
      <c r="J7" s="10">
        <v>1229052</v>
      </c>
      <c r="K7" s="10">
        <v>1865928</v>
      </c>
      <c r="L7" s="10">
        <v>1068816</v>
      </c>
      <c r="M7" s="10">
        <v>920976</v>
      </c>
      <c r="N7" s="10">
        <v>1089036</v>
      </c>
      <c r="O7" s="10">
        <v>284088</v>
      </c>
      <c r="P7" s="10">
        <v>757164</v>
      </c>
      <c r="Q7" s="10">
        <v>372588</v>
      </c>
      <c r="R7" s="10">
        <v>609792</v>
      </c>
      <c r="S7" s="10">
        <v>236832</v>
      </c>
      <c r="T7" s="10">
        <v>65316</v>
      </c>
      <c r="U7" s="10">
        <v>74472</v>
      </c>
      <c r="V7" s="10">
        <v>1375392</v>
      </c>
      <c r="W7" s="8">
        <f t="shared" si="1"/>
        <v>17909796</v>
      </c>
      <c r="X7" s="9"/>
    </row>
    <row r="8" spans="1:24">
      <c r="A8" s="5" t="s">
        <v>39</v>
      </c>
      <c r="B8" s="6" t="s">
        <v>40</v>
      </c>
      <c r="C8" s="6"/>
      <c r="D8" s="7" t="s">
        <v>28</v>
      </c>
      <c r="E8" s="8">
        <f>E9+E10</f>
        <v>331920</v>
      </c>
      <c r="F8" s="8">
        <f t="shared" ref="F8:V8" si="4">F9+F10</f>
        <v>385008</v>
      </c>
      <c r="G8" s="8">
        <f t="shared" si="4"/>
        <v>425436</v>
      </c>
      <c r="H8" s="8">
        <f t="shared" si="4"/>
        <v>401724</v>
      </c>
      <c r="I8" s="8">
        <f t="shared" si="4"/>
        <v>435408</v>
      </c>
      <c r="J8" s="8">
        <f t="shared" si="4"/>
        <v>342408</v>
      </c>
      <c r="K8" s="8">
        <f t="shared" si="4"/>
        <v>616620</v>
      </c>
      <c r="L8" s="8">
        <f t="shared" si="4"/>
        <v>315480</v>
      </c>
      <c r="M8" s="8">
        <f t="shared" si="4"/>
        <v>241176</v>
      </c>
      <c r="N8" s="8">
        <f t="shared" si="4"/>
        <v>368484</v>
      </c>
      <c r="O8" s="8">
        <f t="shared" si="4"/>
        <v>111912</v>
      </c>
      <c r="P8" s="8">
        <f t="shared" si="4"/>
        <v>266976</v>
      </c>
      <c r="Q8" s="8">
        <f t="shared" si="4"/>
        <v>133032</v>
      </c>
      <c r="R8" s="8">
        <f t="shared" si="4"/>
        <v>227851.8</v>
      </c>
      <c r="S8" s="8">
        <f t="shared" si="4"/>
        <v>85272</v>
      </c>
      <c r="T8" s="8">
        <f t="shared" si="4"/>
        <v>26676</v>
      </c>
      <c r="U8" s="8">
        <f t="shared" si="4"/>
        <v>21480</v>
      </c>
      <c r="V8" s="8">
        <f t="shared" si="4"/>
        <v>348060</v>
      </c>
      <c r="W8" s="8">
        <f t="shared" si="1"/>
        <v>5084923.8</v>
      </c>
      <c r="X8" s="9"/>
    </row>
    <row r="9" spans="1:24">
      <c r="A9" s="5" t="s">
        <v>41</v>
      </c>
      <c r="B9" s="6" t="s">
        <v>42</v>
      </c>
      <c r="C9" s="6" t="s">
        <v>35</v>
      </c>
      <c r="D9" s="7" t="s">
        <v>36</v>
      </c>
      <c r="E9" s="10">
        <v>4560</v>
      </c>
      <c r="F9" s="10">
        <v>4848</v>
      </c>
      <c r="G9" s="10">
        <v>3036</v>
      </c>
      <c r="H9" s="10">
        <v>5724</v>
      </c>
      <c r="I9" s="10">
        <v>7728</v>
      </c>
      <c r="J9" s="10">
        <v>4488</v>
      </c>
      <c r="K9" s="10">
        <v>4140</v>
      </c>
      <c r="L9" s="10">
        <v>3960</v>
      </c>
      <c r="M9" s="10">
        <v>3576</v>
      </c>
      <c r="N9" s="10">
        <v>4164</v>
      </c>
      <c r="O9" s="10">
        <v>1032</v>
      </c>
      <c r="P9" s="10">
        <v>2976</v>
      </c>
      <c r="Q9" s="10">
        <v>1032</v>
      </c>
      <c r="R9" s="10">
        <v>16651.8</v>
      </c>
      <c r="S9" s="10">
        <v>792</v>
      </c>
      <c r="T9" s="10">
        <v>276</v>
      </c>
      <c r="U9" s="10">
        <v>360</v>
      </c>
      <c r="V9" s="10">
        <v>4860</v>
      </c>
      <c r="W9" s="19">
        <f t="shared" si="1"/>
        <v>74203.8</v>
      </c>
      <c r="X9" s="9"/>
    </row>
    <row r="10" spans="1:24">
      <c r="A10" s="5" t="s">
        <v>43</v>
      </c>
      <c r="B10" s="6" t="s">
        <v>44</v>
      </c>
      <c r="C10" s="6"/>
      <c r="D10" s="7" t="s">
        <v>28</v>
      </c>
      <c r="E10" s="8">
        <f>E11</f>
        <v>327360</v>
      </c>
      <c r="F10" s="8">
        <f t="shared" ref="F10:W10" si="5">F11</f>
        <v>380160</v>
      </c>
      <c r="G10" s="8">
        <f t="shared" si="5"/>
        <v>422400</v>
      </c>
      <c r="H10" s="8">
        <f t="shared" si="5"/>
        <v>396000</v>
      </c>
      <c r="I10" s="8">
        <f t="shared" si="5"/>
        <v>427680</v>
      </c>
      <c r="J10" s="8">
        <f t="shared" si="5"/>
        <v>337920</v>
      </c>
      <c r="K10" s="8">
        <f t="shared" si="5"/>
        <v>612480</v>
      </c>
      <c r="L10" s="8">
        <f t="shared" si="5"/>
        <v>311520</v>
      </c>
      <c r="M10" s="8">
        <f t="shared" si="5"/>
        <v>237600</v>
      </c>
      <c r="N10" s="8">
        <f t="shared" si="5"/>
        <v>364320</v>
      </c>
      <c r="O10" s="8">
        <f t="shared" si="5"/>
        <v>110880</v>
      </c>
      <c r="P10" s="8">
        <f t="shared" si="5"/>
        <v>264000</v>
      </c>
      <c r="Q10" s="8">
        <f t="shared" si="5"/>
        <v>132000</v>
      </c>
      <c r="R10" s="8">
        <f t="shared" si="5"/>
        <v>211200</v>
      </c>
      <c r="S10" s="8">
        <f t="shared" si="5"/>
        <v>84480</v>
      </c>
      <c r="T10" s="8">
        <f t="shared" si="5"/>
        <v>26400</v>
      </c>
      <c r="U10" s="8">
        <f t="shared" si="5"/>
        <v>21120</v>
      </c>
      <c r="V10" s="8">
        <f t="shared" si="5"/>
        <v>343200</v>
      </c>
      <c r="W10" s="8">
        <f t="shared" si="5"/>
        <v>5010720</v>
      </c>
      <c r="X10" s="9"/>
    </row>
    <row r="11" spans="1:24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>440*12*E93</f>
        <v>327360</v>
      </c>
      <c r="F11" s="8">
        <f t="shared" ref="F11:V11" si="6">440*12*F93</f>
        <v>380160</v>
      </c>
      <c r="G11" s="8">
        <f t="shared" si="6"/>
        <v>422400</v>
      </c>
      <c r="H11" s="8">
        <f t="shared" si="6"/>
        <v>396000</v>
      </c>
      <c r="I11" s="8">
        <f t="shared" si="6"/>
        <v>427680</v>
      </c>
      <c r="J11" s="8">
        <f t="shared" si="6"/>
        <v>337920</v>
      </c>
      <c r="K11" s="8">
        <f t="shared" si="6"/>
        <v>612480</v>
      </c>
      <c r="L11" s="8">
        <f t="shared" si="6"/>
        <v>311520</v>
      </c>
      <c r="M11" s="8">
        <f t="shared" si="6"/>
        <v>237600</v>
      </c>
      <c r="N11" s="8">
        <f t="shared" si="6"/>
        <v>364320</v>
      </c>
      <c r="O11" s="8">
        <f t="shared" si="6"/>
        <v>110880</v>
      </c>
      <c r="P11" s="8">
        <f t="shared" si="6"/>
        <v>264000</v>
      </c>
      <c r="Q11" s="8">
        <f t="shared" si="6"/>
        <v>132000</v>
      </c>
      <c r="R11" s="8">
        <f t="shared" si="6"/>
        <v>211200</v>
      </c>
      <c r="S11" s="8">
        <f t="shared" si="6"/>
        <v>84480</v>
      </c>
      <c r="T11" s="8">
        <f t="shared" si="6"/>
        <v>26400</v>
      </c>
      <c r="U11" s="8">
        <f t="shared" si="6"/>
        <v>21120</v>
      </c>
      <c r="V11" s="8">
        <f t="shared" si="6"/>
        <v>343200</v>
      </c>
      <c r="W11" s="8">
        <f t="shared" ref="W11:W26" si="7">SUM(E11:V11)</f>
        <v>5010720</v>
      </c>
      <c r="X11" s="9"/>
    </row>
    <row r="12" spans="1:24">
      <c r="A12" s="5" t="s">
        <v>47</v>
      </c>
      <c r="B12" s="6" t="s">
        <v>48</v>
      </c>
      <c r="C12" s="6"/>
      <c r="D12" s="7" t="s">
        <v>49</v>
      </c>
      <c r="E12" s="8">
        <f>E13+E14</f>
        <v>110249.43</v>
      </c>
      <c r="F12" s="8">
        <f t="shared" ref="F12:M12" si="8">F13+F14</f>
        <v>114846.33000000002</v>
      </c>
      <c r="G12" s="8">
        <f t="shared" si="8"/>
        <v>123484.18</v>
      </c>
      <c r="H12" s="8">
        <f t="shared" si="8"/>
        <v>119391.41</v>
      </c>
      <c r="I12" s="8">
        <f t="shared" si="8"/>
        <v>131300.35</v>
      </c>
      <c r="J12" s="8">
        <f t="shared" si="8"/>
        <v>100222.27</v>
      </c>
      <c r="K12" s="8">
        <f t="shared" si="8"/>
        <v>185505.55</v>
      </c>
      <c r="L12" s="8">
        <f t="shared" si="8"/>
        <v>90722.59</v>
      </c>
      <c r="M12" s="8">
        <f t="shared" si="8"/>
        <v>67601.959999999992</v>
      </c>
      <c r="N12" s="8">
        <f t="shared" ref="N12" si="9">N13+N14</f>
        <v>96852.67</v>
      </c>
      <c r="O12" s="8">
        <f t="shared" ref="O12" si="10">O13+O14</f>
        <v>30328.989999999998</v>
      </c>
      <c r="P12" s="8">
        <f t="shared" ref="P12" si="11">P13+P14</f>
        <v>69225.84</v>
      </c>
      <c r="Q12" s="8">
        <f t="shared" ref="Q12" si="12">Q13+Q14</f>
        <v>36039.17</v>
      </c>
      <c r="R12" s="8">
        <f t="shared" ref="R12" si="13">R13+R14</f>
        <v>49849.34</v>
      </c>
      <c r="S12" s="8">
        <f t="shared" ref="S12" si="14">S13+S14</f>
        <v>22650.2</v>
      </c>
      <c r="T12" s="8">
        <f t="shared" ref="T12" si="15">T13+T14</f>
        <v>7934.1100000000006</v>
      </c>
      <c r="U12" s="8">
        <f t="shared" ref="U12" si="16">U13+U14</f>
        <v>7140.9599999999991</v>
      </c>
      <c r="V12" s="8">
        <f t="shared" ref="V12" si="17">V13+V14</f>
        <v>115678.37</v>
      </c>
      <c r="W12" s="8">
        <f t="shared" si="7"/>
        <v>1479023.7200000002</v>
      </c>
      <c r="X12" s="9"/>
    </row>
    <row r="13" spans="1:24" s="13" customFormat="1">
      <c r="A13" s="5" t="s">
        <v>50</v>
      </c>
      <c r="B13" s="49" t="s">
        <v>588</v>
      </c>
      <c r="C13" s="12" t="s">
        <v>35</v>
      </c>
      <c r="D13" s="9" t="s">
        <v>51</v>
      </c>
      <c r="E13" s="8">
        <f>ROUND(E28/0.07*0.00256,2)</f>
        <v>37333.14</v>
      </c>
      <c r="F13" s="8">
        <f t="shared" ref="F13:V13" si="18">ROUND(F28/0.07*0.00256,2)</f>
        <v>38889.760000000002</v>
      </c>
      <c r="G13" s="8">
        <f t="shared" si="18"/>
        <v>41814.75</v>
      </c>
      <c r="H13" s="8">
        <f t="shared" si="18"/>
        <v>40428.839999999997</v>
      </c>
      <c r="I13" s="8">
        <f t="shared" si="18"/>
        <v>44461.49</v>
      </c>
      <c r="J13" s="8">
        <f t="shared" si="18"/>
        <v>33937.699999999997</v>
      </c>
      <c r="K13" s="8">
        <f t="shared" si="18"/>
        <v>62816.69</v>
      </c>
      <c r="L13" s="8">
        <f t="shared" si="18"/>
        <v>30720.880000000001</v>
      </c>
      <c r="M13" s="8">
        <f t="shared" si="18"/>
        <v>22891.67</v>
      </c>
      <c r="N13" s="8">
        <f t="shared" si="18"/>
        <v>32796.67</v>
      </c>
      <c r="O13" s="8">
        <f t="shared" si="18"/>
        <v>10270.129999999999</v>
      </c>
      <c r="P13" s="8">
        <f t="shared" si="18"/>
        <v>23441.55</v>
      </c>
      <c r="Q13" s="8">
        <f t="shared" si="18"/>
        <v>12203.74</v>
      </c>
      <c r="R13" s="8">
        <f t="shared" si="18"/>
        <v>16880.2</v>
      </c>
      <c r="S13" s="8">
        <f t="shared" si="18"/>
        <v>7669.91</v>
      </c>
      <c r="T13" s="8">
        <f t="shared" si="18"/>
        <v>2686.68</v>
      </c>
      <c r="U13" s="8">
        <f t="shared" si="18"/>
        <v>2418.1</v>
      </c>
      <c r="V13" s="8">
        <f t="shared" si="18"/>
        <v>39171.51</v>
      </c>
      <c r="W13" s="8">
        <f t="shared" si="7"/>
        <v>500833.40999999992</v>
      </c>
      <c r="X13" s="9"/>
    </row>
    <row r="14" spans="1:24" s="13" customFormat="1">
      <c r="A14" s="5" t="s">
        <v>52</v>
      </c>
      <c r="B14" s="49" t="s">
        <v>585</v>
      </c>
      <c r="C14" s="12" t="s">
        <v>35</v>
      </c>
      <c r="D14" s="9" t="s">
        <v>51</v>
      </c>
      <c r="E14" s="8">
        <f>ROUND(E28/0.07*0.005,2)</f>
        <v>72916.289999999994</v>
      </c>
      <c r="F14" s="8">
        <f t="shared" ref="F14:V14" si="19">ROUND(F28/0.07*0.005,2)</f>
        <v>75956.570000000007</v>
      </c>
      <c r="G14" s="8">
        <f t="shared" si="19"/>
        <v>81669.429999999993</v>
      </c>
      <c r="H14" s="8">
        <f t="shared" si="19"/>
        <v>78962.570000000007</v>
      </c>
      <c r="I14" s="8">
        <f t="shared" si="19"/>
        <v>86838.86</v>
      </c>
      <c r="J14" s="8">
        <f t="shared" si="19"/>
        <v>66284.570000000007</v>
      </c>
      <c r="K14" s="8">
        <f t="shared" si="19"/>
        <v>122688.86</v>
      </c>
      <c r="L14" s="8">
        <f t="shared" si="19"/>
        <v>60001.71</v>
      </c>
      <c r="M14" s="8">
        <f t="shared" si="19"/>
        <v>44710.29</v>
      </c>
      <c r="N14" s="8">
        <f t="shared" si="19"/>
        <v>64056</v>
      </c>
      <c r="O14" s="8">
        <f t="shared" si="19"/>
        <v>20058.86</v>
      </c>
      <c r="P14" s="8">
        <f t="shared" si="19"/>
        <v>45784.29</v>
      </c>
      <c r="Q14" s="8">
        <f t="shared" si="19"/>
        <v>23835.43</v>
      </c>
      <c r="R14" s="8">
        <f t="shared" si="19"/>
        <v>32969.14</v>
      </c>
      <c r="S14" s="8">
        <f t="shared" si="19"/>
        <v>14980.29</v>
      </c>
      <c r="T14" s="8">
        <f t="shared" si="19"/>
        <v>5247.43</v>
      </c>
      <c r="U14" s="8">
        <f t="shared" si="19"/>
        <v>4722.8599999999997</v>
      </c>
      <c r="V14" s="8">
        <f t="shared" si="19"/>
        <v>76506.86</v>
      </c>
      <c r="W14" s="8">
        <f t="shared" si="7"/>
        <v>978190.31000000017</v>
      </c>
      <c r="X14" s="9"/>
    </row>
    <row r="15" spans="1:24">
      <c r="A15" s="5" t="s">
        <v>53</v>
      </c>
      <c r="B15" s="6" t="s">
        <v>55</v>
      </c>
      <c r="C15" s="6"/>
      <c r="D15" s="7" t="s">
        <v>28</v>
      </c>
      <c r="E15" s="8">
        <v>11860600</v>
      </c>
      <c r="F15" s="8">
        <v>13773600</v>
      </c>
      <c r="G15" s="8">
        <v>15304000</v>
      </c>
      <c r="H15" s="8">
        <v>14347500</v>
      </c>
      <c r="I15" s="8">
        <v>15495300</v>
      </c>
      <c r="J15" s="8">
        <v>12243200</v>
      </c>
      <c r="K15" s="8">
        <v>22190800</v>
      </c>
      <c r="L15" s="8">
        <v>10301400</v>
      </c>
      <c r="M15" s="8">
        <v>7857000</v>
      </c>
      <c r="N15" s="8">
        <v>12047400</v>
      </c>
      <c r="O15" s="8">
        <v>3666600</v>
      </c>
      <c r="P15" s="8">
        <v>8730000</v>
      </c>
      <c r="Q15" s="8">
        <v>4365000</v>
      </c>
      <c r="R15" s="8">
        <v>6984000</v>
      </c>
      <c r="S15" s="8">
        <v>2793600</v>
      </c>
      <c r="T15" s="8">
        <v>873000</v>
      </c>
      <c r="U15" s="8">
        <v>742800</v>
      </c>
      <c r="V15" s="8">
        <v>12434500</v>
      </c>
      <c r="W15" s="8">
        <f t="shared" si="7"/>
        <v>176010300</v>
      </c>
      <c r="X15" s="9"/>
    </row>
    <row r="16" spans="1:24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11667048</v>
      </c>
      <c r="F16" s="16">
        <f t="shared" ref="F16:V16" si="20">F15-F17</f>
        <v>13773600</v>
      </c>
      <c r="G16" s="16">
        <f t="shared" si="20"/>
        <v>15112188</v>
      </c>
      <c r="H16" s="16">
        <f t="shared" si="20"/>
        <v>13976942</v>
      </c>
      <c r="I16" s="16">
        <f t="shared" si="20"/>
        <v>15294948</v>
      </c>
      <c r="J16" s="16">
        <f t="shared" si="20"/>
        <v>12015536</v>
      </c>
      <c r="K16" s="16">
        <f t="shared" si="20"/>
        <v>21751225</v>
      </c>
      <c r="L16" s="16">
        <f t="shared" si="20"/>
        <v>10093492</v>
      </c>
      <c r="M16" s="16">
        <f t="shared" si="20"/>
        <v>7676896</v>
      </c>
      <c r="N16" s="16">
        <f t="shared" si="20"/>
        <v>11814172</v>
      </c>
      <c r="O16" s="16">
        <f t="shared" si="20"/>
        <v>3666600</v>
      </c>
      <c r="P16" s="16">
        <f t="shared" si="20"/>
        <v>8541437</v>
      </c>
      <c r="Q16" s="16">
        <f t="shared" si="20"/>
        <v>4183696</v>
      </c>
      <c r="R16" s="16">
        <f t="shared" si="20"/>
        <v>6802984</v>
      </c>
      <c r="S16" s="16">
        <f t="shared" si="20"/>
        <v>2623264</v>
      </c>
      <c r="T16" s="16">
        <f t="shared" si="20"/>
        <v>725564</v>
      </c>
      <c r="U16" s="16">
        <f t="shared" si="20"/>
        <v>742800</v>
      </c>
      <c r="V16" s="16">
        <f t="shared" si="20"/>
        <v>11793384</v>
      </c>
      <c r="W16" s="8">
        <f t="shared" si="7"/>
        <v>172255776</v>
      </c>
      <c r="X16" s="15"/>
    </row>
    <row r="17" spans="1:24">
      <c r="A17" s="5" t="s">
        <v>56</v>
      </c>
      <c r="B17" s="14" t="s">
        <v>60</v>
      </c>
      <c r="C17" s="14" t="s">
        <v>35</v>
      </c>
      <c r="D17" s="15" t="s">
        <v>61</v>
      </c>
      <c r="E17" s="16">
        <v>193552</v>
      </c>
      <c r="F17" s="16"/>
      <c r="G17" s="16">
        <v>191812</v>
      </c>
      <c r="H17" s="16">
        <v>370558</v>
      </c>
      <c r="I17" s="16">
        <v>200352</v>
      </c>
      <c r="J17" s="16">
        <v>227664</v>
      </c>
      <c r="K17" s="16">
        <v>439575</v>
      </c>
      <c r="L17" s="16">
        <v>207908</v>
      </c>
      <c r="M17" s="16">
        <v>180104</v>
      </c>
      <c r="N17" s="16">
        <v>233228</v>
      </c>
      <c r="O17" s="16"/>
      <c r="P17" s="16">
        <v>188563</v>
      </c>
      <c r="Q17" s="16">
        <v>181304</v>
      </c>
      <c r="R17" s="16">
        <v>181016</v>
      </c>
      <c r="S17" s="16">
        <v>170336</v>
      </c>
      <c r="T17" s="16">
        <v>147436</v>
      </c>
      <c r="U17" s="16"/>
      <c r="V17" s="16">
        <v>641116</v>
      </c>
      <c r="W17" s="8">
        <f t="shared" si="7"/>
        <v>3754524</v>
      </c>
      <c r="X17" s="15"/>
    </row>
    <row r="18" spans="1:24">
      <c r="A18" s="5" t="s">
        <v>59</v>
      </c>
      <c r="B18" s="6" t="s">
        <v>63</v>
      </c>
      <c r="C18" s="6"/>
      <c r="D18" s="15" t="s">
        <v>28</v>
      </c>
      <c r="E18" s="17">
        <f>E19</f>
        <v>1531242</v>
      </c>
      <c r="F18" s="17">
        <f t="shared" ref="F18:V18" si="21">F19</f>
        <v>1595088</v>
      </c>
      <c r="G18" s="17">
        <f t="shared" si="21"/>
        <v>1715058</v>
      </c>
      <c r="H18" s="17">
        <f t="shared" si="21"/>
        <v>1658214</v>
      </c>
      <c r="I18" s="17">
        <f t="shared" si="21"/>
        <v>1823616</v>
      </c>
      <c r="J18" s="17">
        <f t="shared" si="21"/>
        <v>1391976</v>
      </c>
      <c r="K18" s="17">
        <f t="shared" si="21"/>
        <v>2576466</v>
      </c>
      <c r="L18" s="17">
        <f t="shared" si="21"/>
        <v>1260036</v>
      </c>
      <c r="M18" s="17">
        <f t="shared" si="21"/>
        <v>938916</v>
      </c>
      <c r="N18" s="17">
        <f t="shared" si="21"/>
        <v>1345176</v>
      </c>
      <c r="O18" s="17">
        <f t="shared" si="21"/>
        <v>421236</v>
      </c>
      <c r="P18" s="17">
        <f t="shared" si="21"/>
        <v>961470</v>
      </c>
      <c r="Q18" s="17">
        <f t="shared" si="21"/>
        <v>500544</v>
      </c>
      <c r="R18" s="17">
        <f t="shared" si="21"/>
        <v>692352</v>
      </c>
      <c r="S18" s="17">
        <f t="shared" si="21"/>
        <v>314586</v>
      </c>
      <c r="T18" s="17">
        <f t="shared" si="21"/>
        <v>110196</v>
      </c>
      <c r="U18" s="17">
        <f t="shared" si="21"/>
        <v>99180</v>
      </c>
      <c r="V18" s="17">
        <f t="shared" si="21"/>
        <v>1606644</v>
      </c>
      <c r="W18" s="8">
        <f t="shared" si="7"/>
        <v>20541996</v>
      </c>
      <c r="X18" s="15"/>
    </row>
    <row r="19" spans="1:24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1531242</v>
      </c>
      <c r="F19" s="17">
        <f t="shared" ref="F19:V19" si="22">ROUND(F28/0.07*0.105,2)</f>
        <v>1595088</v>
      </c>
      <c r="G19" s="17">
        <f t="shared" si="22"/>
        <v>1715058</v>
      </c>
      <c r="H19" s="17">
        <f t="shared" si="22"/>
        <v>1658214</v>
      </c>
      <c r="I19" s="17">
        <f t="shared" si="22"/>
        <v>1823616</v>
      </c>
      <c r="J19" s="17">
        <f t="shared" si="22"/>
        <v>1391976</v>
      </c>
      <c r="K19" s="17">
        <f t="shared" si="22"/>
        <v>2576466</v>
      </c>
      <c r="L19" s="17">
        <f t="shared" si="22"/>
        <v>1260036</v>
      </c>
      <c r="M19" s="17">
        <f t="shared" si="22"/>
        <v>938916</v>
      </c>
      <c r="N19" s="17">
        <f t="shared" si="22"/>
        <v>1345176</v>
      </c>
      <c r="O19" s="17">
        <f t="shared" si="22"/>
        <v>421236</v>
      </c>
      <c r="P19" s="17">
        <f t="shared" si="22"/>
        <v>961470</v>
      </c>
      <c r="Q19" s="17">
        <f t="shared" si="22"/>
        <v>500544</v>
      </c>
      <c r="R19" s="17">
        <f t="shared" si="22"/>
        <v>692352</v>
      </c>
      <c r="S19" s="17">
        <f t="shared" si="22"/>
        <v>314586</v>
      </c>
      <c r="T19" s="17">
        <f t="shared" si="22"/>
        <v>110196</v>
      </c>
      <c r="U19" s="17">
        <f t="shared" si="22"/>
        <v>99180</v>
      </c>
      <c r="V19" s="17">
        <f t="shared" si="22"/>
        <v>1606644</v>
      </c>
      <c r="W19" s="8">
        <f t="shared" si="7"/>
        <v>20541996</v>
      </c>
      <c r="X19" s="15"/>
    </row>
    <row r="20" spans="1:24">
      <c r="A20" s="5" t="s">
        <v>64</v>
      </c>
      <c r="B20" s="6" t="s">
        <v>68</v>
      </c>
      <c r="C20" s="6"/>
      <c r="D20" s="15" t="s">
        <v>51</v>
      </c>
      <c r="E20" s="17">
        <f>E21+E22</f>
        <v>583330.28</v>
      </c>
      <c r="F20" s="17">
        <f t="shared" ref="F20:V20" si="23">F21+F22</f>
        <v>607652.57999999996</v>
      </c>
      <c r="G20" s="17">
        <f t="shared" si="23"/>
        <v>653355.42000000004</v>
      </c>
      <c r="H20" s="17">
        <f t="shared" si="23"/>
        <v>631700.57999999996</v>
      </c>
      <c r="I20" s="17">
        <f t="shared" si="23"/>
        <v>694710.86</v>
      </c>
      <c r="J20" s="17">
        <f t="shared" si="23"/>
        <v>530276.57999999996</v>
      </c>
      <c r="K20" s="17">
        <f t="shared" si="23"/>
        <v>981510.86</v>
      </c>
      <c r="L20" s="17">
        <f t="shared" si="23"/>
        <v>480013.72</v>
      </c>
      <c r="M20" s="17">
        <f t="shared" si="23"/>
        <v>357682.28</v>
      </c>
      <c r="N20" s="17">
        <f t="shared" si="23"/>
        <v>512448</v>
      </c>
      <c r="O20" s="17">
        <f t="shared" si="23"/>
        <v>160470.85999999999</v>
      </c>
      <c r="P20" s="17">
        <f t="shared" si="23"/>
        <v>366274.28</v>
      </c>
      <c r="Q20" s="17">
        <f t="shared" si="23"/>
        <v>190683.42</v>
      </c>
      <c r="R20" s="17">
        <f t="shared" si="23"/>
        <v>263753.14</v>
      </c>
      <c r="S20" s="17">
        <f t="shared" si="23"/>
        <v>119842.28</v>
      </c>
      <c r="T20" s="17">
        <f t="shared" si="23"/>
        <v>41979.42</v>
      </c>
      <c r="U20" s="17">
        <f t="shared" si="23"/>
        <v>37782.86</v>
      </c>
      <c r="V20" s="17">
        <f t="shared" si="23"/>
        <v>612054.86</v>
      </c>
      <c r="W20" s="8">
        <f t="shared" si="7"/>
        <v>7825522.2800000012</v>
      </c>
      <c r="X20" s="15"/>
    </row>
    <row r="21" spans="1:24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291665.14</v>
      </c>
      <c r="F21" s="17">
        <f t="shared" ref="F21:V21" si="24">ROUND(F28/0.07*0.02,2)</f>
        <v>303826.28999999998</v>
      </c>
      <c r="G21" s="17">
        <f t="shared" si="24"/>
        <v>326677.71000000002</v>
      </c>
      <c r="H21" s="17">
        <f t="shared" si="24"/>
        <v>315850.28999999998</v>
      </c>
      <c r="I21" s="17">
        <f t="shared" si="24"/>
        <v>347355.43</v>
      </c>
      <c r="J21" s="17">
        <f t="shared" si="24"/>
        <v>265138.28999999998</v>
      </c>
      <c r="K21" s="17">
        <f t="shared" si="24"/>
        <v>490755.43</v>
      </c>
      <c r="L21" s="17">
        <f t="shared" si="24"/>
        <v>240006.86</v>
      </c>
      <c r="M21" s="17">
        <f t="shared" si="24"/>
        <v>178841.14</v>
      </c>
      <c r="N21" s="17">
        <f t="shared" si="24"/>
        <v>256224</v>
      </c>
      <c r="O21" s="17">
        <f t="shared" si="24"/>
        <v>80235.429999999993</v>
      </c>
      <c r="P21" s="17">
        <f t="shared" si="24"/>
        <v>183137.14</v>
      </c>
      <c r="Q21" s="17">
        <f t="shared" si="24"/>
        <v>95341.71</v>
      </c>
      <c r="R21" s="17">
        <f t="shared" si="24"/>
        <v>131876.57</v>
      </c>
      <c r="S21" s="17">
        <f t="shared" si="24"/>
        <v>59921.14</v>
      </c>
      <c r="T21" s="17">
        <f t="shared" si="24"/>
        <v>20989.71</v>
      </c>
      <c r="U21" s="17">
        <f t="shared" si="24"/>
        <v>18891.43</v>
      </c>
      <c r="V21" s="17">
        <f t="shared" si="24"/>
        <v>306027.43</v>
      </c>
      <c r="W21" s="8">
        <f t="shared" si="7"/>
        <v>3912761.1400000006</v>
      </c>
      <c r="X21" s="15"/>
    </row>
    <row r="22" spans="1:24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291665.14</v>
      </c>
      <c r="F22" s="17">
        <f t="shared" ref="F22:V22" si="25">ROUND(F28/0.07*0.02,2)</f>
        <v>303826.28999999998</v>
      </c>
      <c r="G22" s="17">
        <f t="shared" si="25"/>
        <v>326677.71000000002</v>
      </c>
      <c r="H22" s="17">
        <f t="shared" si="25"/>
        <v>315850.28999999998</v>
      </c>
      <c r="I22" s="17">
        <f t="shared" si="25"/>
        <v>347355.43</v>
      </c>
      <c r="J22" s="17">
        <f t="shared" si="25"/>
        <v>265138.28999999998</v>
      </c>
      <c r="K22" s="17">
        <f t="shared" si="25"/>
        <v>490755.43</v>
      </c>
      <c r="L22" s="17">
        <f t="shared" si="25"/>
        <v>240006.86</v>
      </c>
      <c r="M22" s="17">
        <f t="shared" si="25"/>
        <v>178841.14</v>
      </c>
      <c r="N22" s="17">
        <f t="shared" si="25"/>
        <v>256224</v>
      </c>
      <c r="O22" s="17">
        <f t="shared" si="25"/>
        <v>80235.429999999993</v>
      </c>
      <c r="P22" s="17">
        <f t="shared" si="25"/>
        <v>183137.14</v>
      </c>
      <c r="Q22" s="17">
        <f t="shared" si="25"/>
        <v>95341.71</v>
      </c>
      <c r="R22" s="17">
        <f t="shared" si="25"/>
        <v>131876.57</v>
      </c>
      <c r="S22" s="17">
        <f t="shared" si="25"/>
        <v>59921.14</v>
      </c>
      <c r="T22" s="17">
        <f t="shared" si="25"/>
        <v>20989.71</v>
      </c>
      <c r="U22" s="17">
        <f t="shared" si="25"/>
        <v>18891.43</v>
      </c>
      <c r="V22" s="17">
        <f t="shared" si="25"/>
        <v>306027.43</v>
      </c>
      <c r="W22" s="8">
        <f t="shared" si="7"/>
        <v>3912761.1400000006</v>
      </c>
      <c r="X22" s="15"/>
    </row>
    <row r="23" spans="1:24">
      <c r="A23" s="5" t="s">
        <v>72</v>
      </c>
      <c r="B23" s="6" t="s">
        <v>75</v>
      </c>
      <c r="C23" s="6"/>
      <c r="D23" s="7" t="s">
        <v>28</v>
      </c>
      <c r="E23" s="8">
        <f>E24</f>
        <v>2333321.14</v>
      </c>
      <c r="F23" s="8">
        <f t="shared" ref="F23:V23" si="26">F24</f>
        <v>2430610.29</v>
      </c>
      <c r="G23" s="8">
        <f t="shared" si="26"/>
        <v>2613421.71</v>
      </c>
      <c r="H23" s="8">
        <f t="shared" si="26"/>
        <v>2526802.29</v>
      </c>
      <c r="I23" s="8">
        <f t="shared" si="26"/>
        <v>2778843.43</v>
      </c>
      <c r="J23" s="8">
        <f t="shared" si="26"/>
        <v>2121106.29</v>
      </c>
      <c r="K23" s="8">
        <f t="shared" si="26"/>
        <v>3926043.43</v>
      </c>
      <c r="L23" s="8">
        <f t="shared" si="26"/>
        <v>1920054.86</v>
      </c>
      <c r="M23" s="8">
        <f t="shared" si="26"/>
        <v>1430729.14</v>
      </c>
      <c r="N23" s="8">
        <f t="shared" si="26"/>
        <v>2049792</v>
      </c>
      <c r="O23" s="8">
        <f t="shared" si="26"/>
        <v>641883.43000000005</v>
      </c>
      <c r="P23" s="8">
        <f t="shared" si="26"/>
        <v>1465097.14</v>
      </c>
      <c r="Q23" s="8">
        <f t="shared" si="26"/>
        <v>762733.71</v>
      </c>
      <c r="R23" s="8">
        <f t="shared" si="26"/>
        <v>1055012.57</v>
      </c>
      <c r="S23" s="8">
        <f t="shared" si="26"/>
        <v>479369.14</v>
      </c>
      <c r="T23" s="8">
        <f t="shared" si="26"/>
        <v>167917.71</v>
      </c>
      <c r="U23" s="8">
        <f t="shared" si="26"/>
        <v>151131.43</v>
      </c>
      <c r="V23" s="8">
        <f t="shared" si="26"/>
        <v>2448219.4300000002</v>
      </c>
      <c r="W23" s="8">
        <f t="shared" si="7"/>
        <v>31302089.140000001</v>
      </c>
      <c r="X23" s="9"/>
    </row>
    <row r="24" spans="1:24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2333321.14</v>
      </c>
      <c r="F24" s="8">
        <f t="shared" ref="F24:V24" si="27">ROUND(F28/0.07*0.16,2)</f>
        <v>2430610.29</v>
      </c>
      <c r="G24" s="8">
        <f t="shared" si="27"/>
        <v>2613421.71</v>
      </c>
      <c r="H24" s="8">
        <f t="shared" si="27"/>
        <v>2526802.29</v>
      </c>
      <c r="I24" s="8">
        <f t="shared" si="27"/>
        <v>2778843.43</v>
      </c>
      <c r="J24" s="8">
        <f t="shared" si="27"/>
        <v>2121106.29</v>
      </c>
      <c r="K24" s="8">
        <f t="shared" si="27"/>
        <v>3926043.43</v>
      </c>
      <c r="L24" s="8">
        <f t="shared" si="27"/>
        <v>1920054.86</v>
      </c>
      <c r="M24" s="8">
        <f t="shared" si="27"/>
        <v>1430729.14</v>
      </c>
      <c r="N24" s="8">
        <f t="shared" si="27"/>
        <v>2049792</v>
      </c>
      <c r="O24" s="8">
        <f t="shared" si="27"/>
        <v>641883.43000000005</v>
      </c>
      <c r="P24" s="8">
        <f t="shared" si="27"/>
        <v>1465097.14</v>
      </c>
      <c r="Q24" s="8">
        <f t="shared" si="27"/>
        <v>762733.71</v>
      </c>
      <c r="R24" s="8">
        <f t="shared" si="27"/>
        <v>1055012.57</v>
      </c>
      <c r="S24" s="8">
        <f t="shared" si="27"/>
        <v>479369.14</v>
      </c>
      <c r="T24" s="8">
        <f t="shared" si="27"/>
        <v>167917.71</v>
      </c>
      <c r="U24" s="8">
        <f t="shared" si="27"/>
        <v>151131.43</v>
      </c>
      <c r="V24" s="8">
        <f t="shared" si="27"/>
        <v>2448219.4300000002</v>
      </c>
      <c r="W24" s="8">
        <f t="shared" si="7"/>
        <v>31302089.140000001</v>
      </c>
      <c r="X24" s="9"/>
    </row>
    <row r="25" spans="1:24">
      <c r="A25" s="5" t="s">
        <v>76</v>
      </c>
      <c r="B25" s="6" t="s">
        <v>80</v>
      </c>
      <c r="C25" s="6"/>
      <c r="D25" s="7" t="s">
        <v>28</v>
      </c>
      <c r="E25" s="8">
        <f>E26</f>
        <v>1166660.57</v>
      </c>
      <c r="F25" s="8">
        <f t="shared" ref="F25:V25" si="28">F26</f>
        <v>1215305.1399999999</v>
      </c>
      <c r="G25" s="8">
        <f t="shared" si="28"/>
        <v>1306710.8600000001</v>
      </c>
      <c r="H25" s="8">
        <f t="shared" si="28"/>
        <v>1263401.1399999999</v>
      </c>
      <c r="I25" s="8">
        <f t="shared" si="28"/>
        <v>1389421.71</v>
      </c>
      <c r="J25" s="8">
        <f t="shared" si="28"/>
        <v>1060553.1399999999</v>
      </c>
      <c r="K25" s="8">
        <f t="shared" si="28"/>
        <v>1963021.71</v>
      </c>
      <c r="L25" s="8">
        <f t="shared" si="28"/>
        <v>960027.43</v>
      </c>
      <c r="M25" s="8">
        <f t="shared" si="28"/>
        <v>715364.57</v>
      </c>
      <c r="N25" s="8">
        <f t="shared" si="28"/>
        <v>1024896</v>
      </c>
      <c r="O25" s="8">
        <f t="shared" si="28"/>
        <v>320941.71000000002</v>
      </c>
      <c r="P25" s="8">
        <f t="shared" si="28"/>
        <v>732548.57</v>
      </c>
      <c r="Q25" s="8">
        <f t="shared" si="28"/>
        <v>381366.86</v>
      </c>
      <c r="R25" s="8">
        <f t="shared" si="28"/>
        <v>527506.29</v>
      </c>
      <c r="S25" s="8">
        <f t="shared" si="28"/>
        <v>239684.57</v>
      </c>
      <c r="T25" s="8">
        <f t="shared" si="28"/>
        <v>83958.86</v>
      </c>
      <c r="U25" s="8">
        <f t="shared" si="28"/>
        <v>75565.710000000006</v>
      </c>
      <c r="V25" s="8">
        <f t="shared" si="28"/>
        <v>1224109.71</v>
      </c>
      <c r="W25" s="8">
        <f t="shared" si="7"/>
        <v>15651044.550000001</v>
      </c>
      <c r="X25" s="9"/>
    </row>
    <row r="26" spans="1:24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1166660.57</v>
      </c>
      <c r="F26" s="8">
        <f t="shared" ref="F26:V26" si="29">ROUND(F28/0.07*0.08,2)</f>
        <v>1215305.1399999999</v>
      </c>
      <c r="G26" s="8">
        <f t="shared" si="29"/>
        <v>1306710.8600000001</v>
      </c>
      <c r="H26" s="8">
        <f t="shared" si="29"/>
        <v>1263401.1399999999</v>
      </c>
      <c r="I26" s="8">
        <f t="shared" si="29"/>
        <v>1389421.71</v>
      </c>
      <c r="J26" s="8">
        <f t="shared" si="29"/>
        <v>1060553.1399999999</v>
      </c>
      <c r="K26" s="8">
        <f t="shared" si="29"/>
        <v>1963021.71</v>
      </c>
      <c r="L26" s="8">
        <f t="shared" si="29"/>
        <v>960027.43</v>
      </c>
      <c r="M26" s="8">
        <f t="shared" si="29"/>
        <v>715364.57</v>
      </c>
      <c r="N26" s="8">
        <f t="shared" si="29"/>
        <v>1024896</v>
      </c>
      <c r="O26" s="8">
        <f t="shared" si="29"/>
        <v>320941.71000000002</v>
      </c>
      <c r="P26" s="8">
        <f t="shared" si="29"/>
        <v>732548.57</v>
      </c>
      <c r="Q26" s="8">
        <f t="shared" si="29"/>
        <v>381366.86</v>
      </c>
      <c r="R26" s="8">
        <f t="shared" si="29"/>
        <v>527506.29</v>
      </c>
      <c r="S26" s="8">
        <f t="shared" si="29"/>
        <v>239684.57</v>
      </c>
      <c r="T26" s="8">
        <f t="shared" si="29"/>
        <v>83958.86</v>
      </c>
      <c r="U26" s="8">
        <f t="shared" si="29"/>
        <v>75565.710000000006</v>
      </c>
      <c r="V26" s="8">
        <f t="shared" si="29"/>
        <v>1224109.71</v>
      </c>
      <c r="W26" s="8">
        <f t="shared" si="7"/>
        <v>15651044.550000001</v>
      </c>
      <c r="X26" s="9"/>
    </row>
    <row r="27" spans="1:24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372000</v>
      </c>
      <c r="F27" s="8">
        <f t="shared" ref="F27:W27" si="30">6000*F93</f>
        <v>432000</v>
      </c>
      <c r="G27" s="8">
        <f t="shared" si="30"/>
        <v>480000</v>
      </c>
      <c r="H27" s="8">
        <f t="shared" si="30"/>
        <v>450000</v>
      </c>
      <c r="I27" s="8">
        <f t="shared" si="30"/>
        <v>486000</v>
      </c>
      <c r="J27" s="8">
        <f t="shared" si="30"/>
        <v>384000</v>
      </c>
      <c r="K27" s="8">
        <f t="shared" si="30"/>
        <v>696000</v>
      </c>
      <c r="L27" s="8">
        <f t="shared" si="30"/>
        <v>354000</v>
      </c>
      <c r="M27" s="8">
        <f t="shared" si="30"/>
        <v>270000</v>
      </c>
      <c r="N27" s="8">
        <f t="shared" si="30"/>
        <v>414000</v>
      </c>
      <c r="O27" s="8">
        <f t="shared" si="30"/>
        <v>126000</v>
      </c>
      <c r="P27" s="8">
        <f t="shared" si="30"/>
        <v>300000</v>
      </c>
      <c r="Q27" s="8">
        <f t="shared" si="30"/>
        <v>150000</v>
      </c>
      <c r="R27" s="8">
        <f t="shared" si="30"/>
        <v>240000</v>
      </c>
      <c r="S27" s="8">
        <f t="shared" si="30"/>
        <v>96000</v>
      </c>
      <c r="T27" s="8">
        <f t="shared" si="30"/>
        <v>30000</v>
      </c>
      <c r="U27" s="8">
        <f t="shared" si="30"/>
        <v>24000</v>
      </c>
      <c r="V27" s="8">
        <f t="shared" si="30"/>
        <v>390000</v>
      </c>
      <c r="W27" s="8">
        <f t="shared" si="30"/>
        <v>5694000</v>
      </c>
      <c r="X27" s="9"/>
    </row>
    <row r="28" spans="1:24">
      <c r="A28" s="5" t="s">
        <v>84</v>
      </c>
      <c r="B28" s="6" t="s">
        <v>88</v>
      </c>
      <c r="C28" s="6" t="s">
        <v>88</v>
      </c>
      <c r="D28" s="7" t="s">
        <v>89</v>
      </c>
      <c r="E28" s="16">
        <v>1020828</v>
      </c>
      <c r="F28" s="16">
        <v>1063392</v>
      </c>
      <c r="G28" s="16">
        <v>1143372</v>
      </c>
      <c r="H28" s="16">
        <v>1105476</v>
      </c>
      <c r="I28" s="16">
        <v>1215744</v>
      </c>
      <c r="J28" s="16">
        <v>927984</v>
      </c>
      <c r="K28" s="16">
        <v>1717644</v>
      </c>
      <c r="L28" s="16">
        <v>840024</v>
      </c>
      <c r="M28" s="16">
        <v>625944</v>
      </c>
      <c r="N28" s="16">
        <v>896784</v>
      </c>
      <c r="O28" s="16">
        <v>280824</v>
      </c>
      <c r="P28" s="16">
        <v>640980</v>
      </c>
      <c r="Q28" s="16">
        <v>333696</v>
      </c>
      <c r="R28" s="16">
        <v>461568</v>
      </c>
      <c r="S28" s="16">
        <v>209724</v>
      </c>
      <c r="T28" s="16">
        <v>73464</v>
      </c>
      <c r="U28" s="16">
        <v>66120</v>
      </c>
      <c r="V28" s="16">
        <v>1071096</v>
      </c>
      <c r="W28" s="8">
        <f t="shared" ref="W28:W89" si="31">SUM(E28:V28)</f>
        <v>13694664</v>
      </c>
      <c r="X28" s="15"/>
    </row>
    <row r="29" spans="1:24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8">
        <f t="shared" si="31"/>
        <v>0</v>
      </c>
      <c r="X29" s="15"/>
    </row>
    <row r="30" spans="1:24">
      <c r="A30" s="5" t="s">
        <v>90</v>
      </c>
      <c r="B30" s="6" t="s">
        <v>95</v>
      </c>
      <c r="C30" s="6"/>
      <c r="D30" s="7" t="s">
        <v>28</v>
      </c>
      <c r="E30" s="8">
        <f>E31+E39+E42+E44</f>
        <v>6440</v>
      </c>
      <c r="F30" s="8">
        <f t="shared" ref="F30:M30" si="32">F31+F39+F42+F44</f>
        <v>9360</v>
      </c>
      <c r="G30" s="8">
        <f t="shared" si="32"/>
        <v>9360</v>
      </c>
      <c r="H30" s="8">
        <f t="shared" si="32"/>
        <v>6600</v>
      </c>
      <c r="I30" s="8">
        <f t="shared" si="32"/>
        <v>9960</v>
      </c>
      <c r="J30" s="8">
        <f t="shared" si="32"/>
        <v>6960</v>
      </c>
      <c r="K30" s="8">
        <f t="shared" si="32"/>
        <v>17040</v>
      </c>
      <c r="L30" s="8">
        <f t="shared" si="32"/>
        <v>8280</v>
      </c>
      <c r="M30" s="8">
        <f t="shared" si="32"/>
        <v>6120</v>
      </c>
      <c r="N30" s="8">
        <f>N31+N39+N42+N44</f>
        <v>13080</v>
      </c>
      <c r="O30" s="8">
        <f t="shared" ref="O30" si="33">O31+O39+O42+O44</f>
        <v>4800</v>
      </c>
      <c r="P30" s="8">
        <f t="shared" ref="P30" si="34">P31+P39+P42+P44</f>
        <v>6720</v>
      </c>
      <c r="Q30" s="8">
        <f t="shared" ref="Q30" si="35">Q31+Q39+Q42+Q44</f>
        <v>5640</v>
      </c>
      <c r="R30" s="8">
        <f t="shared" ref="R30" si="36">R31+R39+R42+R44</f>
        <v>8160</v>
      </c>
      <c r="S30" s="8">
        <f t="shared" ref="S30" si="37">S31+S39+S42+S44</f>
        <v>2520</v>
      </c>
      <c r="T30" s="8">
        <f>T31+T39+T42+T44</f>
        <v>960</v>
      </c>
      <c r="U30" s="8">
        <f t="shared" ref="U30" si="38">U31+U39+U42+U44</f>
        <v>0</v>
      </c>
      <c r="V30" s="8">
        <f t="shared" ref="V30" si="39">V31+V39+V42+V44</f>
        <v>10440</v>
      </c>
      <c r="W30" s="8">
        <f t="shared" si="31"/>
        <v>132440</v>
      </c>
      <c r="X30" s="9"/>
    </row>
    <row r="31" spans="1:24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 t="shared" ref="F31:V31" si="40">F32+F33+F34+F35+F36+F37+F38</f>
        <v>0</v>
      </c>
      <c r="G31" s="8">
        <f t="shared" si="40"/>
        <v>0</v>
      </c>
      <c r="H31" s="8">
        <f t="shared" si="40"/>
        <v>0</v>
      </c>
      <c r="I31" s="8">
        <f t="shared" si="40"/>
        <v>0</v>
      </c>
      <c r="J31" s="8">
        <f t="shared" si="40"/>
        <v>0</v>
      </c>
      <c r="K31" s="8">
        <f t="shared" si="40"/>
        <v>0</v>
      </c>
      <c r="L31" s="8">
        <f t="shared" si="40"/>
        <v>0</v>
      </c>
      <c r="M31" s="8">
        <f t="shared" si="40"/>
        <v>0</v>
      </c>
      <c r="N31" s="8">
        <f t="shared" si="40"/>
        <v>0</v>
      </c>
      <c r="O31" s="8">
        <f t="shared" si="40"/>
        <v>0</v>
      </c>
      <c r="P31" s="8">
        <f t="shared" si="40"/>
        <v>0</v>
      </c>
      <c r="Q31" s="8">
        <f t="shared" si="40"/>
        <v>0</v>
      </c>
      <c r="R31" s="8">
        <f t="shared" si="40"/>
        <v>0</v>
      </c>
      <c r="S31" s="8">
        <f t="shared" si="40"/>
        <v>0</v>
      </c>
      <c r="T31" s="8">
        <f t="shared" si="40"/>
        <v>0</v>
      </c>
      <c r="U31" s="8">
        <f t="shared" si="40"/>
        <v>0</v>
      </c>
      <c r="V31" s="8">
        <f t="shared" si="40"/>
        <v>0</v>
      </c>
      <c r="W31" s="8">
        <f t="shared" si="31"/>
        <v>0</v>
      </c>
      <c r="X31" s="9"/>
    </row>
    <row r="32" spans="1:24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8">
        <f t="shared" si="31"/>
        <v>0</v>
      </c>
      <c r="X32" s="15"/>
    </row>
    <row r="33" spans="1:24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8">
        <f t="shared" si="31"/>
        <v>0</v>
      </c>
      <c r="X33" s="15"/>
    </row>
    <row r="34" spans="1:24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8">
        <f t="shared" si="31"/>
        <v>0</v>
      </c>
      <c r="X34" s="15"/>
    </row>
    <row r="35" spans="1:24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8">
        <f t="shared" si="31"/>
        <v>0</v>
      </c>
      <c r="X35" s="15"/>
    </row>
    <row r="36" spans="1:24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8">
        <f t="shared" si="31"/>
        <v>0</v>
      </c>
      <c r="X36" s="15"/>
    </row>
    <row r="37" spans="1:24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8">
        <f t="shared" si="31"/>
        <v>0</v>
      </c>
      <c r="X37" s="15"/>
    </row>
    <row r="38" spans="1:24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8">
        <f t="shared" si="31"/>
        <v>0</v>
      </c>
      <c r="X38" s="15"/>
    </row>
    <row r="39" spans="1:24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 t="shared" ref="F39:V39" si="41">F40+F41</f>
        <v>0</v>
      </c>
      <c r="G39" s="8">
        <f t="shared" si="41"/>
        <v>0</v>
      </c>
      <c r="H39" s="8">
        <f t="shared" si="41"/>
        <v>0</v>
      </c>
      <c r="I39" s="8">
        <f t="shared" si="41"/>
        <v>0</v>
      </c>
      <c r="J39" s="8">
        <f t="shared" si="41"/>
        <v>0</v>
      </c>
      <c r="K39" s="8">
        <f t="shared" si="41"/>
        <v>0</v>
      </c>
      <c r="L39" s="8">
        <f t="shared" si="41"/>
        <v>0</v>
      </c>
      <c r="M39" s="8">
        <f t="shared" si="41"/>
        <v>0</v>
      </c>
      <c r="N39" s="8">
        <f t="shared" si="41"/>
        <v>0</v>
      </c>
      <c r="O39" s="8">
        <f t="shared" si="41"/>
        <v>0</v>
      </c>
      <c r="P39" s="8">
        <f t="shared" si="41"/>
        <v>0</v>
      </c>
      <c r="Q39" s="8">
        <f t="shared" si="41"/>
        <v>0</v>
      </c>
      <c r="R39" s="8">
        <f t="shared" si="41"/>
        <v>0</v>
      </c>
      <c r="S39" s="8">
        <f t="shared" si="41"/>
        <v>0</v>
      </c>
      <c r="T39" s="8">
        <f t="shared" si="41"/>
        <v>0</v>
      </c>
      <c r="U39" s="8">
        <f t="shared" si="41"/>
        <v>0</v>
      </c>
      <c r="V39" s="8">
        <f t="shared" si="41"/>
        <v>0</v>
      </c>
      <c r="W39" s="8">
        <f t="shared" si="31"/>
        <v>0</v>
      </c>
      <c r="X39" s="9"/>
    </row>
    <row r="40" spans="1:24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8">
        <f t="shared" si="31"/>
        <v>0</v>
      </c>
      <c r="X40" s="9"/>
    </row>
    <row r="41" spans="1:24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8">
        <f t="shared" si="31"/>
        <v>0</v>
      </c>
      <c r="X41" s="9"/>
    </row>
    <row r="42" spans="1:24">
      <c r="A42" s="5" t="s">
        <v>118</v>
      </c>
      <c r="B42" s="6" t="s">
        <v>125</v>
      </c>
      <c r="C42" s="6"/>
      <c r="D42" s="7" t="s">
        <v>28</v>
      </c>
      <c r="E42" s="8">
        <f>E43</f>
        <v>5040</v>
      </c>
      <c r="F42" s="8">
        <f t="shared" ref="F42:V42" si="42">F43</f>
        <v>5760</v>
      </c>
      <c r="G42" s="8">
        <f t="shared" si="42"/>
        <v>5760</v>
      </c>
      <c r="H42" s="8">
        <f t="shared" si="42"/>
        <v>1800</v>
      </c>
      <c r="I42" s="8">
        <f t="shared" si="42"/>
        <v>3960</v>
      </c>
      <c r="J42" s="8">
        <f t="shared" si="42"/>
        <v>2160</v>
      </c>
      <c r="K42" s="8">
        <f t="shared" si="42"/>
        <v>5040</v>
      </c>
      <c r="L42" s="8">
        <f t="shared" si="42"/>
        <v>6480</v>
      </c>
      <c r="M42" s="8">
        <f t="shared" si="42"/>
        <v>4320</v>
      </c>
      <c r="N42" s="8">
        <f t="shared" si="42"/>
        <v>4680</v>
      </c>
      <c r="O42" s="8">
        <f t="shared" si="42"/>
        <v>1800</v>
      </c>
      <c r="P42" s="8">
        <f t="shared" si="42"/>
        <v>2520</v>
      </c>
      <c r="Q42" s="8">
        <f t="shared" si="42"/>
        <v>3240</v>
      </c>
      <c r="R42" s="8">
        <f t="shared" si="42"/>
        <v>3960</v>
      </c>
      <c r="S42" s="8">
        <f t="shared" si="42"/>
        <v>720</v>
      </c>
      <c r="T42" s="8">
        <f t="shared" si="42"/>
        <v>360</v>
      </c>
      <c r="U42" s="8">
        <f t="shared" si="42"/>
        <v>0</v>
      </c>
      <c r="V42" s="8">
        <f t="shared" si="42"/>
        <v>5040</v>
      </c>
      <c r="W42" s="8">
        <f t="shared" si="31"/>
        <v>62640</v>
      </c>
      <c r="X42" s="9"/>
    </row>
    <row r="43" spans="1:24">
      <c r="A43" s="5" t="s">
        <v>120</v>
      </c>
      <c r="B43" s="6" t="s">
        <v>127</v>
      </c>
      <c r="C43" s="6" t="s">
        <v>35</v>
      </c>
      <c r="D43" s="7" t="s">
        <v>36</v>
      </c>
      <c r="E43" s="10">
        <v>5040</v>
      </c>
      <c r="F43" s="10">
        <v>5760</v>
      </c>
      <c r="G43" s="10">
        <v>5760</v>
      </c>
      <c r="H43" s="10">
        <v>1800</v>
      </c>
      <c r="I43" s="10">
        <v>3960</v>
      </c>
      <c r="J43" s="10">
        <v>2160</v>
      </c>
      <c r="K43" s="10">
        <v>5040</v>
      </c>
      <c r="L43" s="10">
        <v>6480</v>
      </c>
      <c r="M43" s="10">
        <v>4320</v>
      </c>
      <c r="N43" s="10">
        <v>4680</v>
      </c>
      <c r="O43" s="10">
        <v>1800</v>
      </c>
      <c r="P43" s="10">
        <v>2520</v>
      </c>
      <c r="Q43" s="10">
        <v>3240</v>
      </c>
      <c r="R43" s="10">
        <v>3960</v>
      </c>
      <c r="S43" s="10">
        <v>720</v>
      </c>
      <c r="T43" s="10">
        <v>360</v>
      </c>
      <c r="U43" s="10"/>
      <c r="V43" s="10">
        <v>5040</v>
      </c>
      <c r="W43" s="8">
        <f t="shared" si="31"/>
        <v>62640</v>
      </c>
      <c r="X43" s="9"/>
    </row>
    <row r="44" spans="1:24">
      <c r="A44" s="5" t="s">
        <v>122</v>
      </c>
      <c r="B44" s="6" t="s">
        <v>129</v>
      </c>
      <c r="C44" s="6"/>
      <c r="D44" s="7" t="s">
        <v>28</v>
      </c>
      <c r="E44" s="8">
        <f>SUM(E45:E48)</f>
        <v>1400</v>
      </c>
      <c r="F44" s="8">
        <f t="shared" ref="F44:V44" si="43">SUM(F45:F48)</f>
        <v>3600</v>
      </c>
      <c r="G44" s="8">
        <f t="shared" si="43"/>
        <v>3600</v>
      </c>
      <c r="H44" s="8">
        <f t="shared" si="43"/>
        <v>4800</v>
      </c>
      <c r="I44" s="8">
        <f t="shared" si="43"/>
        <v>6000</v>
      </c>
      <c r="J44" s="8">
        <f t="shared" si="43"/>
        <v>4800</v>
      </c>
      <c r="K44" s="8">
        <f t="shared" si="43"/>
        <v>12000</v>
      </c>
      <c r="L44" s="8">
        <f t="shared" si="43"/>
        <v>1800</v>
      </c>
      <c r="M44" s="8">
        <f t="shared" si="43"/>
        <v>1800</v>
      </c>
      <c r="N44" s="8">
        <f t="shared" si="43"/>
        <v>8400</v>
      </c>
      <c r="O44" s="8">
        <f t="shared" si="43"/>
        <v>3000</v>
      </c>
      <c r="P44" s="8">
        <f t="shared" si="43"/>
        <v>4200</v>
      </c>
      <c r="Q44" s="8">
        <f t="shared" si="43"/>
        <v>2400</v>
      </c>
      <c r="R44" s="8">
        <f t="shared" si="43"/>
        <v>4200</v>
      </c>
      <c r="S44" s="8">
        <f t="shared" si="43"/>
        <v>1800</v>
      </c>
      <c r="T44" s="8">
        <f t="shared" si="43"/>
        <v>600</v>
      </c>
      <c r="U44" s="8">
        <f t="shared" si="43"/>
        <v>0</v>
      </c>
      <c r="V44" s="8">
        <f t="shared" si="43"/>
        <v>5400</v>
      </c>
      <c r="W44" s="8">
        <f t="shared" si="31"/>
        <v>69800</v>
      </c>
      <c r="X44" s="9"/>
    </row>
    <row r="45" spans="1:24">
      <c r="A45" s="5" t="s">
        <v>124</v>
      </c>
      <c r="B45" s="6" t="s">
        <v>131</v>
      </c>
      <c r="C45" s="6" t="s">
        <v>35</v>
      </c>
      <c r="D45" s="7" t="s">
        <v>132</v>
      </c>
      <c r="E45" s="10">
        <v>1400</v>
      </c>
      <c r="F45" s="10">
        <v>3600</v>
      </c>
      <c r="G45" s="10">
        <v>3600</v>
      </c>
      <c r="H45" s="10">
        <v>4800</v>
      </c>
      <c r="I45" s="10">
        <v>6000</v>
      </c>
      <c r="J45" s="10">
        <v>4800</v>
      </c>
      <c r="K45" s="10">
        <v>12000</v>
      </c>
      <c r="L45" s="10">
        <v>1800</v>
      </c>
      <c r="M45" s="10">
        <v>1800</v>
      </c>
      <c r="N45" s="10">
        <v>8400</v>
      </c>
      <c r="O45" s="10">
        <v>3000</v>
      </c>
      <c r="P45" s="10">
        <v>4200</v>
      </c>
      <c r="Q45" s="10">
        <v>2400</v>
      </c>
      <c r="R45" s="10">
        <v>4200</v>
      </c>
      <c r="S45" s="10">
        <v>1800</v>
      </c>
      <c r="T45" s="10">
        <v>600</v>
      </c>
      <c r="U45" s="10"/>
      <c r="V45" s="10">
        <v>5400</v>
      </c>
      <c r="W45" s="8">
        <f t="shared" si="31"/>
        <v>69800</v>
      </c>
      <c r="X45" s="9"/>
    </row>
    <row r="46" spans="1:24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8">
        <f t="shared" si="31"/>
        <v>0</v>
      </c>
      <c r="X46" s="9"/>
    </row>
    <row r="47" spans="1:24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8">
        <f t="shared" si="31"/>
        <v>0</v>
      </c>
      <c r="X47" s="9"/>
    </row>
    <row r="48" spans="1:24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8">
        <f t="shared" si="31"/>
        <v>0</v>
      </c>
      <c r="X48" s="15"/>
    </row>
    <row r="49" spans="1:24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3139955.5900000003</v>
      </c>
      <c r="F49" s="8">
        <f t="shared" ref="F49:V49" si="44">F50+F68+F70+F72+F74+F76+F78+F80+F82+F90</f>
        <v>3529534.94</v>
      </c>
      <c r="G49" s="8">
        <f t="shared" si="44"/>
        <v>4389210.91</v>
      </c>
      <c r="H49" s="8">
        <f t="shared" si="44"/>
        <v>5215262.4400000004</v>
      </c>
      <c r="I49" s="8">
        <f t="shared" si="44"/>
        <v>3613924.6300000004</v>
      </c>
      <c r="J49" s="8">
        <f t="shared" si="44"/>
        <v>3277509.54</v>
      </c>
      <c r="K49" s="8">
        <f t="shared" si="44"/>
        <v>6885201.2299999995</v>
      </c>
      <c r="L49" s="8">
        <f t="shared" si="44"/>
        <v>2988258.36</v>
      </c>
      <c r="M49" s="8">
        <f t="shared" si="44"/>
        <v>2047542.4900000002</v>
      </c>
      <c r="N49" s="8">
        <f t="shared" si="44"/>
        <v>3429892</v>
      </c>
      <c r="O49" s="8">
        <f t="shared" si="44"/>
        <v>1176470.7299999997</v>
      </c>
      <c r="P49" s="8">
        <f t="shared" si="44"/>
        <v>2259407.04</v>
      </c>
      <c r="Q49" s="8">
        <f t="shared" si="44"/>
        <v>1208457.1599999999</v>
      </c>
      <c r="R49" s="8">
        <f t="shared" si="44"/>
        <v>1947308.2200000002</v>
      </c>
      <c r="S49" s="8">
        <f t="shared" si="44"/>
        <v>1127018.1399999999</v>
      </c>
      <c r="T49" s="8">
        <f t="shared" si="44"/>
        <v>1057751.71</v>
      </c>
      <c r="U49" s="8">
        <f t="shared" si="44"/>
        <v>182971.43</v>
      </c>
      <c r="V49" s="8">
        <f t="shared" si="44"/>
        <v>3626159.6300000004</v>
      </c>
      <c r="W49" s="8">
        <f t="shared" si="31"/>
        <v>51101836.189999998</v>
      </c>
      <c r="X49" s="9"/>
    </row>
    <row r="50" spans="1:24">
      <c r="A50" s="5" t="s">
        <v>136</v>
      </c>
      <c r="B50" s="6" t="s">
        <v>144</v>
      </c>
      <c r="C50" s="6"/>
      <c r="D50" s="7" t="s">
        <v>145</v>
      </c>
      <c r="E50" s="8">
        <v>2010000</v>
      </c>
      <c r="F50" s="8">
        <v>2247850</v>
      </c>
      <c r="G50" s="8">
        <v>3323200</v>
      </c>
      <c r="H50" s="8">
        <v>3852000</v>
      </c>
      <c r="I50" s="8">
        <v>2346510</v>
      </c>
      <c r="J50" s="8">
        <v>2397870</v>
      </c>
      <c r="K50" s="8">
        <v>5283660</v>
      </c>
      <c r="L50" s="8">
        <v>2145000</v>
      </c>
      <c r="M50" s="8">
        <v>1487200</v>
      </c>
      <c r="N50" s="8">
        <v>2571140</v>
      </c>
      <c r="O50" s="8">
        <v>858000</v>
      </c>
      <c r="P50" s="8">
        <v>1627340</v>
      </c>
      <c r="Q50" s="8">
        <v>858000</v>
      </c>
      <c r="R50" s="8">
        <v>1430000</v>
      </c>
      <c r="S50" s="8">
        <v>858000</v>
      </c>
      <c r="T50" s="8">
        <v>858000</v>
      </c>
      <c r="U50" s="8">
        <v>89600</v>
      </c>
      <c r="V50" s="8">
        <v>2579500</v>
      </c>
      <c r="W50" s="8">
        <f t="shared" si="31"/>
        <v>36822870</v>
      </c>
      <c r="X50" s="9"/>
    </row>
    <row r="51" spans="1:24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8">
        <f t="shared" si="31"/>
        <v>0</v>
      </c>
      <c r="X51" s="9"/>
    </row>
    <row r="52" spans="1:24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8">
        <f t="shared" si="31"/>
        <v>0</v>
      </c>
      <c r="X52" s="9"/>
    </row>
    <row r="53" spans="1:24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8">
        <f t="shared" si="31"/>
        <v>0</v>
      </c>
      <c r="X53" s="9"/>
    </row>
    <row r="54" spans="1:24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8">
        <f t="shared" si="31"/>
        <v>0</v>
      </c>
      <c r="X54" s="9"/>
    </row>
    <row r="55" spans="1:24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8">
        <f t="shared" si="31"/>
        <v>0</v>
      </c>
      <c r="X55" s="9"/>
    </row>
    <row r="56" spans="1:24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8">
        <f t="shared" si="31"/>
        <v>0</v>
      </c>
      <c r="X56" s="9"/>
    </row>
    <row r="57" spans="1:24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8">
        <f t="shared" si="31"/>
        <v>0</v>
      </c>
      <c r="X57" s="9"/>
    </row>
    <row r="58" spans="1:24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8">
        <f t="shared" si="31"/>
        <v>0</v>
      </c>
      <c r="X58" s="9"/>
    </row>
    <row r="59" spans="1:24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8">
        <f t="shared" si="31"/>
        <v>0</v>
      </c>
      <c r="X59" s="9"/>
    </row>
    <row r="60" spans="1:24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86262.5</v>
      </c>
      <c r="F60" s="10">
        <v>112392.5</v>
      </c>
      <c r="G60" s="10">
        <v>166160</v>
      </c>
      <c r="H60" s="10">
        <v>127918.5</v>
      </c>
      <c r="I60" s="10">
        <v>117325.5</v>
      </c>
      <c r="J60" s="10">
        <v>119893.5</v>
      </c>
      <c r="K60" s="10">
        <v>264183</v>
      </c>
      <c r="L60" s="10">
        <v>88374</v>
      </c>
      <c r="M60" s="10">
        <v>68211</v>
      </c>
      <c r="N60" s="10">
        <v>128128</v>
      </c>
      <c r="O60" s="10">
        <v>39182</v>
      </c>
      <c r="P60" s="10">
        <v>69641</v>
      </c>
      <c r="Q60" s="10">
        <v>39325</v>
      </c>
      <c r="R60" s="10">
        <v>60632</v>
      </c>
      <c r="S60" s="10">
        <v>38610</v>
      </c>
      <c r="T60" s="10">
        <v>7150</v>
      </c>
      <c r="U60" s="10">
        <v>4480</v>
      </c>
      <c r="V60" s="10">
        <v>128975</v>
      </c>
      <c r="W60" s="8">
        <f t="shared" si="31"/>
        <v>1666843.5</v>
      </c>
      <c r="X60" s="9"/>
    </row>
    <row r="61" spans="1:24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8">
        <f t="shared" si="31"/>
        <v>0</v>
      </c>
      <c r="X61" s="9"/>
    </row>
    <row r="62" spans="1:24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8">
        <f t="shared" si="31"/>
        <v>0</v>
      </c>
      <c r="X62" s="9"/>
    </row>
    <row r="63" spans="1:24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8">
        <f t="shared" si="31"/>
        <v>0</v>
      </c>
      <c r="X63" s="9"/>
    </row>
    <row r="64" spans="1:24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8">
        <f t="shared" si="31"/>
        <v>0</v>
      </c>
      <c r="X64" s="9"/>
    </row>
    <row r="65" spans="1:24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8">
        <f t="shared" si="31"/>
        <v>0</v>
      </c>
      <c r="X65" s="9"/>
    </row>
    <row r="66" spans="1:24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8">
        <f t="shared" si="31"/>
        <v>0</v>
      </c>
      <c r="X66" s="9"/>
    </row>
    <row r="67" spans="1:24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8">
        <f t="shared" si="31"/>
        <v>0</v>
      </c>
      <c r="X67" s="9"/>
    </row>
    <row r="68" spans="1:24">
      <c r="A68" s="5" t="s">
        <v>176</v>
      </c>
      <c r="B68" s="6" t="s">
        <v>183</v>
      </c>
      <c r="C68" s="6"/>
      <c r="D68" s="7"/>
      <c r="E68" s="8">
        <f>E69</f>
        <v>24800</v>
      </c>
      <c r="F68" s="8">
        <f t="shared" ref="F68:V68" si="45">F69</f>
        <v>28800</v>
      </c>
      <c r="G68" s="8">
        <f t="shared" si="45"/>
        <v>32000</v>
      </c>
      <c r="H68" s="8">
        <f t="shared" si="45"/>
        <v>30000</v>
      </c>
      <c r="I68" s="8">
        <f t="shared" si="45"/>
        <v>32400</v>
      </c>
      <c r="J68" s="8">
        <f t="shared" si="45"/>
        <v>25600</v>
      </c>
      <c r="K68" s="8">
        <f t="shared" si="45"/>
        <v>46400</v>
      </c>
      <c r="L68" s="8">
        <f t="shared" si="45"/>
        <v>23600</v>
      </c>
      <c r="M68" s="8">
        <f t="shared" si="45"/>
        <v>18000</v>
      </c>
      <c r="N68" s="8">
        <f t="shared" si="45"/>
        <v>27600</v>
      </c>
      <c r="O68" s="8">
        <f t="shared" si="45"/>
        <v>8400</v>
      </c>
      <c r="P68" s="8">
        <f t="shared" si="45"/>
        <v>20000</v>
      </c>
      <c r="Q68" s="8">
        <f t="shared" si="45"/>
        <v>10000</v>
      </c>
      <c r="R68" s="8">
        <f t="shared" si="45"/>
        <v>16000</v>
      </c>
      <c r="S68" s="8">
        <f t="shared" si="45"/>
        <v>6400</v>
      </c>
      <c r="T68" s="8">
        <f t="shared" si="45"/>
        <v>2000</v>
      </c>
      <c r="U68" s="8">
        <f t="shared" si="45"/>
        <v>1600</v>
      </c>
      <c r="V68" s="8">
        <f t="shared" si="45"/>
        <v>26000</v>
      </c>
      <c r="W68" s="8">
        <f t="shared" si="31"/>
        <v>379600</v>
      </c>
      <c r="X68" s="9"/>
    </row>
    <row r="69" spans="1:24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24800</v>
      </c>
      <c r="F69" s="8">
        <f t="shared" ref="F69:V69" si="46">F93*400</f>
        <v>28800</v>
      </c>
      <c r="G69" s="8">
        <f t="shared" si="46"/>
        <v>32000</v>
      </c>
      <c r="H69" s="8">
        <f t="shared" si="46"/>
        <v>30000</v>
      </c>
      <c r="I69" s="8">
        <f t="shared" si="46"/>
        <v>32400</v>
      </c>
      <c r="J69" s="8">
        <f t="shared" si="46"/>
        <v>25600</v>
      </c>
      <c r="K69" s="8">
        <f t="shared" si="46"/>
        <v>46400</v>
      </c>
      <c r="L69" s="8">
        <f t="shared" si="46"/>
        <v>23600</v>
      </c>
      <c r="M69" s="8">
        <f t="shared" si="46"/>
        <v>18000</v>
      </c>
      <c r="N69" s="8">
        <f t="shared" si="46"/>
        <v>27600</v>
      </c>
      <c r="O69" s="8">
        <f t="shared" si="46"/>
        <v>8400</v>
      </c>
      <c r="P69" s="8">
        <f t="shared" si="46"/>
        <v>20000</v>
      </c>
      <c r="Q69" s="8">
        <f t="shared" si="46"/>
        <v>10000</v>
      </c>
      <c r="R69" s="8">
        <f t="shared" si="46"/>
        <v>16000</v>
      </c>
      <c r="S69" s="8">
        <f t="shared" si="46"/>
        <v>6400</v>
      </c>
      <c r="T69" s="8">
        <f t="shared" si="46"/>
        <v>2000</v>
      </c>
      <c r="U69" s="8">
        <f t="shared" si="46"/>
        <v>1600</v>
      </c>
      <c r="V69" s="8">
        <f t="shared" si="46"/>
        <v>26000</v>
      </c>
      <c r="W69" s="8">
        <f t="shared" si="31"/>
        <v>379600</v>
      </c>
      <c r="X69" s="9"/>
    </row>
    <row r="70" spans="1:24">
      <c r="A70" s="5" t="s">
        <v>180</v>
      </c>
      <c r="B70" s="6" t="s">
        <v>188</v>
      </c>
      <c r="C70" s="6"/>
      <c r="D70" s="7" t="s">
        <v>28</v>
      </c>
      <c r="E70" s="8">
        <f>E71</f>
        <v>118770.45</v>
      </c>
      <c r="F70" s="8">
        <f t="shared" ref="F70:V70" si="47">F71</f>
        <v>331291.05</v>
      </c>
      <c r="G70" s="8">
        <f t="shared" si="47"/>
        <v>259299.59999999998</v>
      </c>
      <c r="H70" s="8">
        <f t="shared" si="47"/>
        <v>191508.15</v>
      </c>
      <c r="I70" s="8">
        <f t="shared" si="47"/>
        <v>164731.20000000001</v>
      </c>
      <c r="J70" s="8">
        <f t="shared" si="47"/>
        <v>98189.25</v>
      </c>
      <c r="K70" s="8">
        <f t="shared" si="47"/>
        <v>310345.80000000005</v>
      </c>
      <c r="L70" s="8">
        <f t="shared" si="47"/>
        <v>141067.5</v>
      </c>
      <c r="M70" s="8">
        <f t="shared" si="47"/>
        <v>69733.350000000006</v>
      </c>
      <c r="N70" s="8">
        <f t="shared" si="47"/>
        <v>173365.2</v>
      </c>
      <c r="O70" s="8">
        <f t="shared" si="47"/>
        <v>88565.7</v>
      </c>
      <c r="P70" s="8">
        <f t="shared" si="47"/>
        <v>128985.9</v>
      </c>
      <c r="Q70" s="8">
        <f t="shared" si="47"/>
        <v>88875.45</v>
      </c>
      <c r="R70" s="8">
        <f t="shared" si="47"/>
        <v>119210.85</v>
      </c>
      <c r="S70" s="8">
        <f t="shared" si="47"/>
        <v>85861.8</v>
      </c>
      <c r="T70" s="8">
        <f t="shared" si="47"/>
        <v>114450</v>
      </c>
      <c r="U70" s="8">
        <f t="shared" si="47"/>
        <v>0</v>
      </c>
      <c r="V70" s="8">
        <f t="shared" si="47"/>
        <v>184792.19999999998</v>
      </c>
      <c r="W70" s="8">
        <f t="shared" si="31"/>
        <v>2669043.4500000002</v>
      </c>
      <c r="X70" s="9"/>
    </row>
    <row r="71" spans="1:24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118770.45</v>
      </c>
      <c r="F71" s="8">
        <f t="shared" ref="F71:V71" si="48">F105*15</f>
        <v>331291.05</v>
      </c>
      <c r="G71" s="8">
        <f t="shared" si="48"/>
        <v>259299.59999999998</v>
      </c>
      <c r="H71" s="8">
        <f t="shared" si="48"/>
        <v>191508.15</v>
      </c>
      <c r="I71" s="8">
        <f t="shared" si="48"/>
        <v>164731.20000000001</v>
      </c>
      <c r="J71" s="8">
        <f t="shared" si="48"/>
        <v>98189.25</v>
      </c>
      <c r="K71" s="8">
        <f t="shared" si="48"/>
        <v>310345.80000000005</v>
      </c>
      <c r="L71" s="8">
        <f t="shared" si="48"/>
        <v>141067.5</v>
      </c>
      <c r="M71" s="8">
        <f t="shared" si="48"/>
        <v>69733.350000000006</v>
      </c>
      <c r="N71" s="8">
        <f t="shared" si="48"/>
        <v>173365.2</v>
      </c>
      <c r="O71" s="8">
        <f t="shared" si="48"/>
        <v>88565.7</v>
      </c>
      <c r="P71" s="8">
        <f t="shared" si="48"/>
        <v>128985.9</v>
      </c>
      <c r="Q71" s="8">
        <f t="shared" si="48"/>
        <v>88875.45</v>
      </c>
      <c r="R71" s="8">
        <f t="shared" si="48"/>
        <v>119210.85</v>
      </c>
      <c r="S71" s="8">
        <f t="shared" si="48"/>
        <v>85861.8</v>
      </c>
      <c r="T71" s="8">
        <f t="shared" si="48"/>
        <v>114450</v>
      </c>
      <c r="U71" s="8">
        <f t="shared" si="48"/>
        <v>0</v>
      </c>
      <c r="V71" s="8">
        <f t="shared" si="48"/>
        <v>184792.19999999998</v>
      </c>
      <c r="W71" s="8">
        <f t="shared" si="31"/>
        <v>2669043.4500000002</v>
      </c>
      <c r="X71" s="9"/>
    </row>
    <row r="72" spans="1:24">
      <c r="A72" s="5" t="s">
        <v>184</v>
      </c>
      <c r="B72" s="6" t="s">
        <v>193</v>
      </c>
      <c r="C72" s="6"/>
      <c r="D72" s="7" t="s">
        <v>28</v>
      </c>
      <c r="E72" s="8">
        <f>E73</f>
        <v>45600</v>
      </c>
      <c r="F72" s="8">
        <f t="shared" ref="F72:V72" si="49">F73</f>
        <v>76487.600000000006</v>
      </c>
      <c r="G72" s="8">
        <f t="shared" si="49"/>
        <v>70433.600000000006</v>
      </c>
      <c r="H72" s="8">
        <f t="shared" si="49"/>
        <v>60304</v>
      </c>
      <c r="I72" s="8">
        <f t="shared" si="49"/>
        <v>76688</v>
      </c>
      <c r="J72" s="8">
        <f t="shared" si="49"/>
        <v>31192</v>
      </c>
      <c r="K72" s="8">
        <f t="shared" si="49"/>
        <v>97640</v>
      </c>
      <c r="L72" s="8">
        <f t="shared" si="49"/>
        <v>33144</v>
      </c>
      <c r="M72" s="8">
        <f t="shared" si="49"/>
        <v>19888</v>
      </c>
      <c r="N72" s="8">
        <f t="shared" si="49"/>
        <v>33722.800000000003</v>
      </c>
      <c r="O72" s="8">
        <f t="shared" si="49"/>
        <v>18549.599999999999</v>
      </c>
      <c r="P72" s="8">
        <f t="shared" si="49"/>
        <v>28344</v>
      </c>
      <c r="Q72" s="8">
        <f t="shared" si="49"/>
        <v>16240</v>
      </c>
      <c r="R72" s="8">
        <f t="shared" si="49"/>
        <v>45420.800000000003</v>
      </c>
      <c r="S72" s="8">
        <f t="shared" si="49"/>
        <v>15715.2</v>
      </c>
      <c r="T72" s="8">
        <f t="shared" si="49"/>
        <v>8712</v>
      </c>
      <c r="U72" s="8">
        <f t="shared" si="49"/>
        <v>0</v>
      </c>
      <c r="V72" s="8">
        <f t="shared" si="49"/>
        <v>28240</v>
      </c>
      <c r="W72" s="8">
        <f t="shared" si="31"/>
        <v>706321.6</v>
      </c>
      <c r="X72" s="9"/>
    </row>
    <row r="73" spans="1:24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45600</v>
      </c>
      <c r="F73" s="8">
        <f t="shared" ref="F73:V73" si="50">F106*8</f>
        <v>76487.600000000006</v>
      </c>
      <c r="G73" s="8">
        <f t="shared" si="50"/>
        <v>70433.600000000006</v>
      </c>
      <c r="H73" s="8">
        <f t="shared" si="50"/>
        <v>60304</v>
      </c>
      <c r="I73" s="8">
        <f t="shared" si="50"/>
        <v>76688</v>
      </c>
      <c r="J73" s="8">
        <f t="shared" si="50"/>
        <v>31192</v>
      </c>
      <c r="K73" s="8">
        <f t="shared" si="50"/>
        <v>97640</v>
      </c>
      <c r="L73" s="8">
        <f t="shared" si="50"/>
        <v>33144</v>
      </c>
      <c r="M73" s="8">
        <f t="shared" si="50"/>
        <v>19888</v>
      </c>
      <c r="N73" s="8">
        <f t="shared" si="50"/>
        <v>33722.800000000003</v>
      </c>
      <c r="O73" s="8">
        <f t="shared" si="50"/>
        <v>18549.599999999999</v>
      </c>
      <c r="P73" s="8">
        <f t="shared" si="50"/>
        <v>28344</v>
      </c>
      <c r="Q73" s="8">
        <f t="shared" si="50"/>
        <v>16240</v>
      </c>
      <c r="R73" s="8">
        <f t="shared" si="50"/>
        <v>45420.800000000003</v>
      </c>
      <c r="S73" s="8">
        <f t="shared" si="50"/>
        <v>15715.2</v>
      </c>
      <c r="T73" s="8">
        <f t="shared" si="50"/>
        <v>8712</v>
      </c>
      <c r="U73" s="8">
        <f t="shared" si="50"/>
        <v>0</v>
      </c>
      <c r="V73" s="8">
        <f t="shared" si="50"/>
        <v>28240</v>
      </c>
      <c r="W73" s="8">
        <f t="shared" si="31"/>
        <v>706321.6</v>
      </c>
      <c r="X73" s="9"/>
    </row>
    <row r="74" spans="1:24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 t="shared" ref="F74:V74" si="51">F75</f>
        <v>0</v>
      </c>
      <c r="G74" s="8">
        <f t="shared" si="51"/>
        <v>0</v>
      </c>
      <c r="H74" s="8">
        <f t="shared" si="51"/>
        <v>0</v>
      </c>
      <c r="I74" s="8">
        <f t="shared" si="51"/>
        <v>0</v>
      </c>
      <c r="J74" s="8">
        <f t="shared" si="51"/>
        <v>0</v>
      </c>
      <c r="K74" s="8">
        <f t="shared" si="51"/>
        <v>0</v>
      </c>
      <c r="L74" s="8">
        <f t="shared" si="51"/>
        <v>0</v>
      </c>
      <c r="M74" s="8">
        <f t="shared" si="51"/>
        <v>0</v>
      </c>
      <c r="N74" s="8">
        <f t="shared" si="51"/>
        <v>0</v>
      </c>
      <c r="O74" s="8">
        <f t="shared" si="51"/>
        <v>0</v>
      </c>
      <c r="P74" s="8">
        <f t="shared" si="51"/>
        <v>0</v>
      </c>
      <c r="Q74" s="8">
        <f t="shared" si="51"/>
        <v>0</v>
      </c>
      <c r="R74" s="8">
        <f t="shared" si="51"/>
        <v>0</v>
      </c>
      <c r="S74" s="8">
        <f t="shared" si="51"/>
        <v>0</v>
      </c>
      <c r="T74" s="8">
        <f t="shared" si="51"/>
        <v>0</v>
      </c>
      <c r="U74" s="8">
        <f t="shared" si="51"/>
        <v>0</v>
      </c>
      <c r="V74" s="8">
        <f t="shared" si="51"/>
        <v>0</v>
      </c>
      <c r="W74" s="8">
        <f t="shared" si="31"/>
        <v>0</v>
      </c>
      <c r="X74" s="9"/>
    </row>
    <row r="75" spans="1:24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8">
        <f t="shared" si="31"/>
        <v>0</v>
      </c>
      <c r="X75" s="9"/>
    </row>
    <row r="76" spans="1:24">
      <c r="A76" s="5" t="s">
        <v>194</v>
      </c>
      <c r="B76" s="6" t="s">
        <v>202</v>
      </c>
      <c r="C76" s="6"/>
      <c r="D76" s="7" t="s">
        <v>28</v>
      </c>
      <c r="E76" s="8">
        <f>E77</f>
        <v>267840</v>
      </c>
      <c r="F76" s="8">
        <f t="shared" ref="F76:V76" si="52">F77</f>
        <v>311040</v>
      </c>
      <c r="G76" s="8">
        <f t="shared" si="52"/>
        <v>345600</v>
      </c>
      <c r="H76" s="8">
        <f t="shared" si="52"/>
        <v>324000</v>
      </c>
      <c r="I76" s="8">
        <f t="shared" si="52"/>
        <v>349920</v>
      </c>
      <c r="J76" s="8">
        <f t="shared" si="52"/>
        <v>276480</v>
      </c>
      <c r="K76" s="8">
        <f t="shared" si="52"/>
        <v>501120</v>
      </c>
      <c r="L76" s="8">
        <f t="shared" si="52"/>
        <v>254880</v>
      </c>
      <c r="M76" s="8">
        <f t="shared" si="52"/>
        <v>194400</v>
      </c>
      <c r="N76" s="8">
        <f t="shared" si="52"/>
        <v>298080</v>
      </c>
      <c r="O76" s="8">
        <f t="shared" si="52"/>
        <v>90720</v>
      </c>
      <c r="P76" s="8">
        <f t="shared" si="52"/>
        <v>216000</v>
      </c>
      <c r="Q76" s="8">
        <f t="shared" si="52"/>
        <v>108000</v>
      </c>
      <c r="R76" s="8">
        <f t="shared" si="52"/>
        <v>172800</v>
      </c>
      <c r="S76" s="8">
        <f t="shared" si="52"/>
        <v>69120</v>
      </c>
      <c r="T76" s="8">
        <f t="shared" si="52"/>
        <v>21600</v>
      </c>
      <c r="U76" s="8">
        <f t="shared" si="52"/>
        <v>17280</v>
      </c>
      <c r="V76" s="8">
        <f t="shared" si="52"/>
        <v>280800</v>
      </c>
      <c r="W76" s="8">
        <f t="shared" si="31"/>
        <v>4099680</v>
      </c>
      <c r="X76" s="9"/>
    </row>
    <row r="77" spans="1:24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267840</v>
      </c>
      <c r="F77" s="8">
        <f t="shared" ref="F77:V77" si="53">F93*4320</f>
        <v>311040</v>
      </c>
      <c r="G77" s="8">
        <f t="shared" si="53"/>
        <v>345600</v>
      </c>
      <c r="H77" s="8">
        <f t="shared" si="53"/>
        <v>324000</v>
      </c>
      <c r="I77" s="8">
        <f t="shared" si="53"/>
        <v>349920</v>
      </c>
      <c r="J77" s="8">
        <f t="shared" si="53"/>
        <v>276480</v>
      </c>
      <c r="K77" s="8">
        <f t="shared" si="53"/>
        <v>501120</v>
      </c>
      <c r="L77" s="8">
        <f t="shared" si="53"/>
        <v>254880</v>
      </c>
      <c r="M77" s="8">
        <f t="shared" si="53"/>
        <v>194400</v>
      </c>
      <c r="N77" s="8">
        <f t="shared" si="53"/>
        <v>298080</v>
      </c>
      <c r="O77" s="8">
        <f t="shared" si="53"/>
        <v>90720</v>
      </c>
      <c r="P77" s="8">
        <f t="shared" si="53"/>
        <v>216000</v>
      </c>
      <c r="Q77" s="8">
        <f t="shared" si="53"/>
        <v>108000</v>
      </c>
      <c r="R77" s="8">
        <f t="shared" si="53"/>
        <v>172800</v>
      </c>
      <c r="S77" s="8">
        <f t="shared" si="53"/>
        <v>69120</v>
      </c>
      <c r="T77" s="8">
        <f t="shared" si="53"/>
        <v>21600</v>
      </c>
      <c r="U77" s="8">
        <f t="shared" si="53"/>
        <v>17280</v>
      </c>
      <c r="V77" s="8">
        <f t="shared" si="53"/>
        <v>280800</v>
      </c>
      <c r="W77" s="8">
        <f t="shared" si="31"/>
        <v>4099680</v>
      </c>
      <c r="X77" s="9"/>
    </row>
    <row r="78" spans="1:24">
      <c r="A78" s="5" t="s">
        <v>199</v>
      </c>
      <c r="B78" s="6" t="s">
        <v>207</v>
      </c>
      <c r="C78" s="6"/>
      <c r="D78" s="7" t="s">
        <v>28</v>
      </c>
      <c r="E78" s="8">
        <f>E79</f>
        <v>291665.14</v>
      </c>
      <c r="F78" s="8">
        <f t="shared" ref="F78:V78" si="54">F79</f>
        <v>303826.28999999998</v>
      </c>
      <c r="G78" s="8">
        <f t="shared" si="54"/>
        <v>326677.71000000002</v>
      </c>
      <c r="H78" s="8">
        <f t="shared" si="54"/>
        <v>315850.28999999998</v>
      </c>
      <c r="I78" s="8">
        <f t="shared" si="54"/>
        <v>347355.43</v>
      </c>
      <c r="J78" s="8">
        <f t="shared" si="54"/>
        <v>265138.28999999998</v>
      </c>
      <c r="K78" s="8">
        <f t="shared" si="54"/>
        <v>490755.43</v>
      </c>
      <c r="L78" s="8">
        <f t="shared" si="54"/>
        <v>240006.86</v>
      </c>
      <c r="M78" s="8">
        <f t="shared" si="54"/>
        <v>178841.14</v>
      </c>
      <c r="N78" s="8">
        <f t="shared" si="54"/>
        <v>256224</v>
      </c>
      <c r="O78" s="8">
        <f t="shared" si="54"/>
        <v>80235.429999999993</v>
      </c>
      <c r="P78" s="8">
        <f t="shared" si="54"/>
        <v>183137.14</v>
      </c>
      <c r="Q78" s="8">
        <f t="shared" si="54"/>
        <v>95341.71</v>
      </c>
      <c r="R78" s="8">
        <f t="shared" si="54"/>
        <v>131876.57</v>
      </c>
      <c r="S78" s="8">
        <f t="shared" si="54"/>
        <v>59921.14</v>
      </c>
      <c r="T78" s="8">
        <f t="shared" si="54"/>
        <v>20989.71</v>
      </c>
      <c r="U78" s="8">
        <f t="shared" si="54"/>
        <v>18891.43</v>
      </c>
      <c r="V78" s="8">
        <f t="shared" si="54"/>
        <v>306027.43</v>
      </c>
      <c r="W78" s="8">
        <f t="shared" si="31"/>
        <v>3912761.1400000006</v>
      </c>
      <c r="X78" s="9"/>
    </row>
    <row r="79" spans="1:24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291665.14</v>
      </c>
      <c r="F79" s="8">
        <f t="shared" ref="F79:V79" si="55">ROUND(F28/0.07*0.02,2)</f>
        <v>303826.28999999998</v>
      </c>
      <c r="G79" s="8">
        <f t="shared" si="55"/>
        <v>326677.71000000002</v>
      </c>
      <c r="H79" s="8">
        <f t="shared" si="55"/>
        <v>315850.28999999998</v>
      </c>
      <c r="I79" s="8">
        <f t="shared" si="55"/>
        <v>347355.43</v>
      </c>
      <c r="J79" s="8">
        <f t="shared" si="55"/>
        <v>265138.28999999998</v>
      </c>
      <c r="K79" s="8">
        <f t="shared" si="55"/>
        <v>490755.43</v>
      </c>
      <c r="L79" s="8">
        <f t="shared" si="55"/>
        <v>240006.86</v>
      </c>
      <c r="M79" s="8">
        <f t="shared" si="55"/>
        <v>178841.14</v>
      </c>
      <c r="N79" s="8">
        <f t="shared" si="55"/>
        <v>256224</v>
      </c>
      <c r="O79" s="8">
        <f t="shared" si="55"/>
        <v>80235.429999999993</v>
      </c>
      <c r="P79" s="8">
        <f t="shared" si="55"/>
        <v>183137.14</v>
      </c>
      <c r="Q79" s="8">
        <f t="shared" si="55"/>
        <v>95341.71</v>
      </c>
      <c r="R79" s="8">
        <f t="shared" si="55"/>
        <v>131876.57</v>
      </c>
      <c r="S79" s="8">
        <f t="shared" si="55"/>
        <v>59921.14</v>
      </c>
      <c r="T79" s="8">
        <f t="shared" si="55"/>
        <v>20989.71</v>
      </c>
      <c r="U79" s="8">
        <f t="shared" si="55"/>
        <v>18891.43</v>
      </c>
      <c r="V79" s="8">
        <f t="shared" si="55"/>
        <v>306027.43</v>
      </c>
      <c r="W79" s="8">
        <f t="shared" si="31"/>
        <v>3912761.1400000006</v>
      </c>
      <c r="X79" s="9"/>
    </row>
    <row r="80" spans="1:24">
      <c r="A80" s="5" t="s">
        <v>203</v>
      </c>
      <c r="B80" s="6" t="s">
        <v>211</v>
      </c>
      <c r="C80" s="6"/>
      <c r="D80" s="7" t="s">
        <v>28</v>
      </c>
      <c r="E80" s="8">
        <f>E81</f>
        <v>32000</v>
      </c>
      <c r="F80" s="8">
        <f t="shared" ref="F80:V80" si="56">F81</f>
        <v>32000</v>
      </c>
      <c r="G80" s="8">
        <f t="shared" si="56"/>
        <v>0</v>
      </c>
      <c r="H80" s="8">
        <f t="shared" si="56"/>
        <v>64000</v>
      </c>
      <c r="I80" s="8">
        <f t="shared" si="56"/>
        <v>32000</v>
      </c>
      <c r="J80" s="8">
        <f t="shared" si="56"/>
        <v>32000</v>
      </c>
      <c r="K80" s="8">
        <f t="shared" si="56"/>
        <v>32000</v>
      </c>
      <c r="L80" s="8">
        <f t="shared" si="56"/>
        <v>32000</v>
      </c>
      <c r="M80" s="8">
        <f t="shared" si="56"/>
        <v>32000</v>
      </c>
      <c r="N80" s="8">
        <f t="shared" si="56"/>
        <v>0</v>
      </c>
      <c r="O80" s="8">
        <f t="shared" si="56"/>
        <v>0</v>
      </c>
      <c r="P80" s="8">
        <f t="shared" si="56"/>
        <v>0</v>
      </c>
      <c r="Q80" s="8">
        <f t="shared" si="56"/>
        <v>0</v>
      </c>
      <c r="R80" s="8">
        <f t="shared" si="56"/>
        <v>0</v>
      </c>
      <c r="S80" s="8">
        <f t="shared" si="56"/>
        <v>0</v>
      </c>
      <c r="T80" s="8">
        <f t="shared" si="56"/>
        <v>0</v>
      </c>
      <c r="U80" s="8">
        <f t="shared" si="56"/>
        <v>0</v>
      </c>
      <c r="V80" s="8">
        <f t="shared" si="56"/>
        <v>32000</v>
      </c>
      <c r="W80" s="8">
        <f t="shared" si="31"/>
        <v>320000</v>
      </c>
      <c r="X80" s="9"/>
    </row>
    <row r="81" spans="1:24" ht="33.75">
      <c r="A81" s="5" t="s">
        <v>206</v>
      </c>
      <c r="B81" s="6" t="s">
        <v>213</v>
      </c>
      <c r="C81" s="6" t="s">
        <v>35</v>
      </c>
      <c r="D81" s="20" t="s">
        <v>214</v>
      </c>
      <c r="E81" s="10">
        <v>32000</v>
      </c>
      <c r="F81" s="10">
        <v>32000</v>
      </c>
      <c r="G81" s="10"/>
      <c r="H81" s="10">
        <v>64000</v>
      </c>
      <c r="I81" s="10">
        <v>32000</v>
      </c>
      <c r="J81" s="10">
        <v>32000</v>
      </c>
      <c r="K81" s="10">
        <v>32000</v>
      </c>
      <c r="L81" s="10">
        <v>32000</v>
      </c>
      <c r="M81" s="10">
        <v>32000</v>
      </c>
      <c r="N81" s="10"/>
      <c r="O81" s="10"/>
      <c r="P81" s="10"/>
      <c r="Q81" s="10"/>
      <c r="R81" s="10"/>
      <c r="S81" s="10"/>
      <c r="T81" s="10"/>
      <c r="U81" s="10"/>
      <c r="V81" s="10">
        <v>32000</v>
      </c>
      <c r="W81" s="8">
        <f t="shared" si="31"/>
        <v>320000</v>
      </c>
      <c r="X81" s="9"/>
    </row>
    <row r="82" spans="1:24">
      <c r="A82" s="5" t="s">
        <v>208</v>
      </c>
      <c r="B82" s="6" t="s">
        <v>216</v>
      </c>
      <c r="C82" s="6"/>
      <c r="D82" s="7" t="s">
        <v>28</v>
      </c>
      <c r="E82" s="8">
        <f>E83+E86+E89</f>
        <v>349280</v>
      </c>
      <c r="F82" s="8">
        <f t="shared" ref="F82:V82" si="57">F83+F86+F89</f>
        <v>198240</v>
      </c>
      <c r="G82" s="8">
        <f t="shared" si="57"/>
        <v>0</v>
      </c>
      <c r="H82" s="8">
        <f t="shared" si="57"/>
        <v>377600</v>
      </c>
      <c r="I82" s="8">
        <f t="shared" si="57"/>
        <v>264320</v>
      </c>
      <c r="J82" s="8">
        <f t="shared" si="57"/>
        <v>151040</v>
      </c>
      <c r="K82" s="8">
        <f t="shared" si="57"/>
        <v>113280</v>
      </c>
      <c r="L82" s="8">
        <f t="shared" si="57"/>
        <v>108560</v>
      </c>
      <c r="M82" s="8">
        <f t="shared" si="57"/>
        <v>42480</v>
      </c>
      <c r="N82" s="8">
        <f t="shared" si="57"/>
        <v>37760</v>
      </c>
      <c r="O82" s="8">
        <f t="shared" si="57"/>
        <v>0</v>
      </c>
      <c r="P82" s="8">
        <f t="shared" si="57"/>
        <v>23600</v>
      </c>
      <c r="Q82" s="8">
        <f t="shared" si="57"/>
        <v>0</v>
      </c>
      <c r="R82" s="8">
        <f t="shared" si="57"/>
        <v>0</v>
      </c>
      <c r="S82" s="8">
        <f t="shared" si="57"/>
        <v>0</v>
      </c>
      <c r="T82" s="8">
        <f t="shared" si="57"/>
        <v>0</v>
      </c>
      <c r="U82" s="8">
        <f t="shared" si="57"/>
        <v>23600</v>
      </c>
      <c r="V82" s="8">
        <f t="shared" si="57"/>
        <v>188800</v>
      </c>
      <c r="W82" s="8">
        <f t="shared" si="31"/>
        <v>1878560</v>
      </c>
      <c r="X82" s="9"/>
    </row>
    <row r="83" spans="1:24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 t="shared" ref="F83:V83" si="58">F84+F85</f>
        <v>0</v>
      </c>
      <c r="G83" s="8">
        <f t="shared" si="58"/>
        <v>0</v>
      </c>
      <c r="H83" s="8">
        <f t="shared" si="58"/>
        <v>0</v>
      </c>
      <c r="I83" s="8">
        <f t="shared" si="58"/>
        <v>0</v>
      </c>
      <c r="J83" s="8">
        <f t="shared" si="58"/>
        <v>0</v>
      </c>
      <c r="K83" s="8">
        <f t="shared" si="58"/>
        <v>0</v>
      </c>
      <c r="L83" s="8">
        <f t="shared" si="58"/>
        <v>0</v>
      </c>
      <c r="M83" s="8">
        <f t="shared" si="58"/>
        <v>0</v>
      </c>
      <c r="N83" s="8">
        <f t="shared" si="58"/>
        <v>0</v>
      </c>
      <c r="O83" s="8">
        <f t="shared" si="58"/>
        <v>0</v>
      </c>
      <c r="P83" s="8">
        <f t="shared" si="58"/>
        <v>0</v>
      </c>
      <c r="Q83" s="8">
        <f t="shared" si="58"/>
        <v>0</v>
      </c>
      <c r="R83" s="8">
        <f t="shared" si="58"/>
        <v>0</v>
      </c>
      <c r="S83" s="8">
        <f t="shared" si="58"/>
        <v>0</v>
      </c>
      <c r="T83" s="8">
        <f t="shared" si="58"/>
        <v>0</v>
      </c>
      <c r="U83" s="8">
        <f t="shared" si="58"/>
        <v>0</v>
      </c>
      <c r="V83" s="8">
        <f t="shared" si="58"/>
        <v>0</v>
      </c>
      <c r="W83" s="8">
        <f t="shared" si="31"/>
        <v>0</v>
      </c>
      <c r="X83" s="9"/>
    </row>
    <row r="84" spans="1:24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16"/>
      <c r="R84" s="16"/>
      <c r="S84" s="16"/>
      <c r="T84" s="16"/>
      <c r="U84" s="16"/>
      <c r="V84" s="16"/>
      <c r="W84" s="8">
        <f t="shared" si="31"/>
        <v>0</v>
      </c>
      <c r="X84" s="15"/>
    </row>
    <row r="85" spans="1:24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16"/>
      <c r="R85" s="16"/>
      <c r="S85" s="16"/>
      <c r="T85" s="16"/>
      <c r="U85" s="16"/>
      <c r="V85" s="16"/>
      <c r="W85" s="8">
        <f t="shared" si="31"/>
        <v>0</v>
      </c>
      <c r="X85" s="15"/>
    </row>
    <row r="86" spans="1:24">
      <c r="A86" s="5" t="s">
        <v>217</v>
      </c>
      <c r="B86" s="6" t="s">
        <v>225</v>
      </c>
      <c r="C86" s="6"/>
      <c r="D86" s="7" t="s">
        <v>28</v>
      </c>
      <c r="E86" s="8">
        <f>E87+E88</f>
        <v>349280</v>
      </c>
      <c r="F86" s="8">
        <f t="shared" ref="F86:V86" si="59">F87+F88</f>
        <v>198240</v>
      </c>
      <c r="G86" s="8">
        <f t="shared" si="59"/>
        <v>0</v>
      </c>
      <c r="H86" s="8">
        <f t="shared" si="59"/>
        <v>377600</v>
      </c>
      <c r="I86" s="8">
        <f t="shared" si="59"/>
        <v>264320</v>
      </c>
      <c r="J86" s="8">
        <f t="shared" si="59"/>
        <v>151040</v>
      </c>
      <c r="K86" s="8">
        <f t="shared" si="59"/>
        <v>113280</v>
      </c>
      <c r="L86" s="8">
        <f t="shared" si="59"/>
        <v>108560</v>
      </c>
      <c r="M86" s="8">
        <f t="shared" si="59"/>
        <v>42480</v>
      </c>
      <c r="N86" s="8">
        <f t="shared" si="59"/>
        <v>37760</v>
      </c>
      <c r="O86" s="8">
        <f t="shared" si="59"/>
        <v>0</v>
      </c>
      <c r="P86" s="8">
        <f t="shared" si="59"/>
        <v>23600</v>
      </c>
      <c r="Q86" s="8">
        <f t="shared" si="59"/>
        <v>0</v>
      </c>
      <c r="R86" s="8">
        <f t="shared" si="59"/>
        <v>0</v>
      </c>
      <c r="S86" s="8">
        <f t="shared" si="59"/>
        <v>0</v>
      </c>
      <c r="T86" s="8">
        <f t="shared" si="59"/>
        <v>0</v>
      </c>
      <c r="U86" s="8">
        <f t="shared" si="59"/>
        <v>23600</v>
      </c>
      <c r="V86" s="8">
        <f t="shared" si="59"/>
        <v>188800</v>
      </c>
      <c r="W86" s="8">
        <f t="shared" si="31"/>
        <v>1878560</v>
      </c>
      <c r="X86" s="9"/>
    </row>
    <row r="87" spans="1:24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29600</v>
      </c>
      <c r="F87" s="8">
        <f t="shared" ref="F87:V87" si="60">F104*400</f>
        <v>16800</v>
      </c>
      <c r="G87" s="8">
        <f t="shared" si="60"/>
        <v>0</v>
      </c>
      <c r="H87" s="8">
        <f t="shared" si="60"/>
        <v>32000</v>
      </c>
      <c r="I87" s="8">
        <f t="shared" si="60"/>
        <v>22400</v>
      </c>
      <c r="J87" s="8">
        <f t="shared" si="60"/>
        <v>12800</v>
      </c>
      <c r="K87" s="8">
        <f t="shared" si="60"/>
        <v>9600</v>
      </c>
      <c r="L87" s="8">
        <f t="shared" si="60"/>
        <v>9200</v>
      </c>
      <c r="M87" s="8">
        <f t="shared" si="60"/>
        <v>3600</v>
      </c>
      <c r="N87" s="8">
        <f t="shared" si="60"/>
        <v>3200</v>
      </c>
      <c r="O87" s="8">
        <f t="shared" si="60"/>
        <v>0</v>
      </c>
      <c r="P87" s="8">
        <f t="shared" si="60"/>
        <v>2000</v>
      </c>
      <c r="Q87" s="8">
        <f t="shared" si="60"/>
        <v>0</v>
      </c>
      <c r="R87" s="8">
        <f t="shared" si="60"/>
        <v>0</v>
      </c>
      <c r="S87" s="8">
        <f t="shared" si="60"/>
        <v>0</v>
      </c>
      <c r="T87" s="8">
        <f t="shared" si="60"/>
        <v>0</v>
      </c>
      <c r="U87" s="8">
        <f t="shared" si="60"/>
        <v>2000</v>
      </c>
      <c r="V87" s="8">
        <f t="shared" si="60"/>
        <v>16000</v>
      </c>
      <c r="W87" s="8">
        <f t="shared" si="31"/>
        <v>159200</v>
      </c>
      <c r="X87" s="9"/>
    </row>
    <row r="88" spans="1:24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319680</v>
      </c>
      <c r="F88" s="8">
        <f t="shared" ref="F88:V88" si="61">F104*4320</f>
        <v>181440</v>
      </c>
      <c r="G88" s="8">
        <f t="shared" si="61"/>
        <v>0</v>
      </c>
      <c r="H88" s="8">
        <f t="shared" si="61"/>
        <v>345600</v>
      </c>
      <c r="I88" s="8">
        <f t="shared" si="61"/>
        <v>241920</v>
      </c>
      <c r="J88" s="8">
        <f t="shared" si="61"/>
        <v>138240</v>
      </c>
      <c r="K88" s="8">
        <f t="shared" si="61"/>
        <v>103680</v>
      </c>
      <c r="L88" s="8">
        <f t="shared" si="61"/>
        <v>99360</v>
      </c>
      <c r="M88" s="8">
        <f t="shared" si="61"/>
        <v>38880</v>
      </c>
      <c r="N88" s="8">
        <f t="shared" si="61"/>
        <v>34560</v>
      </c>
      <c r="O88" s="8">
        <f t="shared" si="61"/>
        <v>0</v>
      </c>
      <c r="P88" s="8">
        <f t="shared" si="61"/>
        <v>21600</v>
      </c>
      <c r="Q88" s="8">
        <f t="shared" si="61"/>
        <v>0</v>
      </c>
      <c r="R88" s="8">
        <f t="shared" si="61"/>
        <v>0</v>
      </c>
      <c r="S88" s="8">
        <f t="shared" si="61"/>
        <v>0</v>
      </c>
      <c r="T88" s="8">
        <f t="shared" si="61"/>
        <v>0</v>
      </c>
      <c r="U88" s="8">
        <f t="shared" si="61"/>
        <v>21600</v>
      </c>
      <c r="V88" s="8">
        <f t="shared" si="61"/>
        <v>172800</v>
      </c>
      <c r="W88" s="8">
        <f t="shared" si="31"/>
        <v>1719360</v>
      </c>
      <c r="X88" s="9"/>
    </row>
    <row r="89" spans="1:24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23"/>
      <c r="R89" s="23"/>
      <c r="S89" s="23"/>
      <c r="T89" s="23"/>
      <c r="U89" s="23"/>
      <c r="V89" s="23"/>
      <c r="W89" s="8">
        <f t="shared" si="31"/>
        <v>0</v>
      </c>
      <c r="X89" s="15"/>
    </row>
    <row r="90" spans="1:24">
      <c r="A90" s="5" t="s">
        <v>226</v>
      </c>
      <c r="B90" s="6" t="s">
        <v>235</v>
      </c>
      <c r="C90" s="6"/>
      <c r="D90" s="7" t="s">
        <v>28</v>
      </c>
      <c r="E90" s="8">
        <f>E91</f>
        <v>0</v>
      </c>
      <c r="F90" s="8">
        <f t="shared" ref="F90:V90" si="62">F91</f>
        <v>0</v>
      </c>
      <c r="G90" s="8">
        <f t="shared" si="62"/>
        <v>32000</v>
      </c>
      <c r="H90" s="8">
        <f t="shared" si="62"/>
        <v>0</v>
      </c>
      <c r="I90" s="8">
        <f t="shared" si="62"/>
        <v>0</v>
      </c>
      <c r="J90" s="8">
        <f t="shared" si="62"/>
        <v>0</v>
      </c>
      <c r="K90" s="8">
        <f t="shared" si="62"/>
        <v>10000</v>
      </c>
      <c r="L90" s="8">
        <f t="shared" si="62"/>
        <v>10000</v>
      </c>
      <c r="M90" s="8">
        <f t="shared" si="62"/>
        <v>5000</v>
      </c>
      <c r="N90" s="8">
        <f t="shared" si="62"/>
        <v>32000</v>
      </c>
      <c r="O90" s="8">
        <f t="shared" si="62"/>
        <v>32000</v>
      </c>
      <c r="P90" s="8">
        <f t="shared" si="62"/>
        <v>32000</v>
      </c>
      <c r="Q90" s="8">
        <f t="shared" si="62"/>
        <v>32000</v>
      </c>
      <c r="R90" s="8">
        <f t="shared" si="62"/>
        <v>32000</v>
      </c>
      <c r="S90" s="8">
        <f t="shared" si="62"/>
        <v>32000</v>
      </c>
      <c r="T90" s="8">
        <f t="shared" si="62"/>
        <v>32000</v>
      </c>
      <c r="U90" s="8">
        <f t="shared" si="62"/>
        <v>32000</v>
      </c>
      <c r="V90" s="8">
        <f t="shared" si="62"/>
        <v>0</v>
      </c>
      <c r="W90" s="8">
        <f t="shared" ref="W90:W106" si="63">SUM(E90:V90)</f>
        <v>313000</v>
      </c>
      <c r="X90" s="9"/>
    </row>
    <row r="91" spans="1:24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/>
      <c r="F91" s="26"/>
      <c r="G91" s="26">
        <v>32000</v>
      </c>
      <c r="H91" s="26"/>
      <c r="I91" s="26"/>
      <c r="J91" s="26"/>
      <c r="K91" s="26">
        <v>10000</v>
      </c>
      <c r="L91" s="26">
        <v>10000</v>
      </c>
      <c r="M91" s="26">
        <v>5000</v>
      </c>
      <c r="N91" s="26">
        <v>32000</v>
      </c>
      <c r="O91" s="26">
        <v>32000</v>
      </c>
      <c r="P91" s="26">
        <v>32000</v>
      </c>
      <c r="Q91" s="26">
        <v>32000</v>
      </c>
      <c r="R91" s="26">
        <v>32000</v>
      </c>
      <c r="S91" s="26">
        <v>32000</v>
      </c>
      <c r="T91" s="26">
        <v>32000</v>
      </c>
      <c r="U91" s="26">
        <v>32000</v>
      </c>
      <c r="V91" s="26"/>
      <c r="W91" s="8">
        <f t="shared" si="63"/>
        <v>313000</v>
      </c>
      <c r="X91" s="27"/>
    </row>
    <row r="92" spans="1:24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30"/>
      <c r="R92" s="30"/>
      <c r="S92" s="30"/>
      <c r="T92" s="30"/>
      <c r="U92" s="30"/>
      <c r="V92" s="30"/>
      <c r="W92" s="8">
        <f t="shared" si="63"/>
        <v>0</v>
      </c>
      <c r="X92" s="31"/>
    </row>
    <row r="93" spans="1:24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62</v>
      </c>
      <c r="F93" s="8">
        <f t="shared" ref="F93:V93" si="64">F94+F95+F96+F97</f>
        <v>72</v>
      </c>
      <c r="G93" s="8">
        <f t="shared" si="64"/>
        <v>80</v>
      </c>
      <c r="H93" s="8">
        <f t="shared" si="64"/>
        <v>75</v>
      </c>
      <c r="I93" s="8">
        <f t="shared" si="64"/>
        <v>81</v>
      </c>
      <c r="J93" s="8">
        <f t="shared" si="64"/>
        <v>64</v>
      </c>
      <c r="K93" s="8">
        <f t="shared" si="64"/>
        <v>116</v>
      </c>
      <c r="L93" s="8">
        <f t="shared" si="64"/>
        <v>59</v>
      </c>
      <c r="M93" s="8">
        <f t="shared" si="64"/>
        <v>45</v>
      </c>
      <c r="N93" s="8">
        <f t="shared" si="64"/>
        <v>69</v>
      </c>
      <c r="O93" s="8">
        <f t="shared" si="64"/>
        <v>21</v>
      </c>
      <c r="P93" s="8">
        <f t="shared" si="64"/>
        <v>50</v>
      </c>
      <c r="Q93" s="8">
        <f t="shared" si="64"/>
        <v>25</v>
      </c>
      <c r="R93" s="8">
        <f t="shared" si="64"/>
        <v>40</v>
      </c>
      <c r="S93" s="8">
        <f t="shared" si="64"/>
        <v>16</v>
      </c>
      <c r="T93" s="8">
        <f t="shared" si="64"/>
        <v>5</v>
      </c>
      <c r="U93" s="8">
        <f t="shared" si="64"/>
        <v>4</v>
      </c>
      <c r="V93" s="8">
        <f t="shared" si="64"/>
        <v>65</v>
      </c>
      <c r="W93" s="8">
        <f t="shared" si="63"/>
        <v>949</v>
      </c>
      <c r="X93" s="9"/>
    </row>
    <row r="94" spans="1:24">
      <c r="A94" s="5" t="s">
        <v>236</v>
      </c>
      <c r="B94" s="32" t="s">
        <v>245</v>
      </c>
      <c r="C94" s="32"/>
      <c r="D94" s="15"/>
      <c r="E94" s="16">
        <v>62</v>
      </c>
      <c r="F94" s="16">
        <v>72</v>
      </c>
      <c r="G94" s="16">
        <v>80</v>
      </c>
      <c r="H94" s="16"/>
      <c r="I94" s="16"/>
      <c r="J94" s="16"/>
      <c r="K94" s="16"/>
      <c r="L94" s="16"/>
      <c r="M94" s="16"/>
      <c r="N94" s="16"/>
      <c r="O94" s="16"/>
      <c r="P94" s="16"/>
      <c r="Q94" s="16"/>
      <c r="R94" s="16"/>
      <c r="S94" s="16"/>
      <c r="T94" s="16"/>
      <c r="U94" s="16"/>
      <c r="V94" s="16">
        <v>65</v>
      </c>
      <c r="W94" s="8">
        <f t="shared" si="63"/>
        <v>279</v>
      </c>
      <c r="X94" s="9"/>
    </row>
    <row r="95" spans="1:24">
      <c r="A95" s="5" t="s">
        <v>239</v>
      </c>
      <c r="B95" s="32" t="s">
        <v>247</v>
      </c>
      <c r="C95" s="32"/>
      <c r="D95" s="7"/>
      <c r="E95" s="10"/>
      <c r="F95" s="10"/>
      <c r="G95" s="10"/>
      <c r="H95" s="10">
        <v>75</v>
      </c>
      <c r="I95" s="10">
        <v>81</v>
      </c>
      <c r="J95" s="10">
        <v>64</v>
      </c>
      <c r="K95" s="10">
        <v>116</v>
      </c>
      <c r="L95" s="10"/>
      <c r="M95" s="10"/>
      <c r="N95" s="10"/>
      <c r="O95" s="10"/>
      <c r="P95" s="10"/>
      <c r="Q95" s="10"/>
      <c r="R95" s="10"/>
      <c r="S95" s="10"/>
      <c r="T95" s="10"/>
      <c r="U95" s="10"/>
      <c r="V95" s="10"/>
      <c r="W95" s="8">
        <f t="shared" si="63"/>
        <v>336</v>
      </c>
      <c r="X95" s="9"/>
    </row>
    <row r="96" spans="1:24">
      <c r="A96" s="5" t="s">
        <v>241</v>
      </c>
      <c r="B96" s="32" t="s">
        <v>249</v>
      </c>
      <c r="C96" s="32"/>
      <c r="D96" s="15"/>
      <c r="E96" s="16"/>
      <c r="F96" s="16"/>
      <c r="G96" s="16"/>
      <c r="H96" s="16"/>
      <c r="I96" s="16"/>
      <c r="J96" s="16"/>
      <c r="K96" s="16"/>
      <c r="L96" s="16">
        <v>59</v>
      </c>
      <c r="M96" s="16">
        <v>45</v>
      </c>
      <c r="N96" s="16">
        <v>69</v>
      </c>
      <c r="O96" s="16">
        <v>21</v>
      </c>
      <c r="P96" s="16">
        <v>50</v>
      </c>
      <c r="Q96" s="16">
        <v>25</v>
      </c>
      <c r="R96" s="16">
        <v>40</v>
      </c>
      <c r="S96" s="16">
        <v>16</v>
      </c>
      <c r="T96" s="16">
        <v>5</v>
      </c>
      <c r="U96" s="16"/>
      <c r="V96" s="16"/>
      <c r="W96" s="8">
        <f t="shared" si="63"/>
        <v>330</v>
      </c>
      <c r="X96" s="9"/>
    </row>
    <row r="97" spans="1:24">
      <c r="A97" s="5" t="s">
        <v>244</v>
      </c>
      <c r="B97" s="32" t="s">
        <v>251</v>
      </c>
      <c r="C97" s="32"/>
      <c r="D97" s="15"/>
      <c r="E97" s="16"/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16"/>
      <c r="R97" s="16"/>
      <c r="S97" s="16"/>
      <c r="T97" s="16"/>
      <c r="U97" s="16">
        <v>4</v>
      </c>
      <c r="V97" s="16"/>
      <c r="W97" s="8">
        <f t="shared" si="63"/>
        <v>4</v>
      </c>
      <c r="X97" s="9"/>
    </row>
    <row r="98" spans="1:24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515</v>
      </c>
      <c r="F98" s="8">
        <f t="shared" ref="F98:V98" si="65">F99+F100+F101+F102</f>
        <v>671</v>
      </c>
      <c r="G98" s="8">
        <f t="shared" si="65"/>
        <v>992</v>
      </c>
      <c r="H98" s="8">
        <f t="shared" si="65"/>
        <v>797</v>
      </c>
      <c r="I98" s="8">
        <f t="shared" si="65"/>
        <v>731</v>
      </c>
      <c r="J98" s="8">
        <f t="shared" si="65"/>
        <v>747</v>
      </c>
      <c r="K98" s="8">
        <f t="shared" si="65"/>
        <v>1646</v>
      </c>
      <c r="L98" s="8">
        <f t="shared" si="65"/>
        <v>618</v>
      </c>
      <c r="M98" s="8">
        <f t="shared" si="65"/>
        <v>477</v>
      </c>
      <c r="N98" s="8">
        <f t="shared" si="65"/>
        <v>896</v>
      </c>
      <c r="O98" s="8">
        <f t="shared" si="65"/>
        <v>274</v>
      </c>
      <c r="P98" s="8">
        <f t="shared" si="65"/>
        <v>487</v>
      </c>
      <c r="Q98" s="8">
        <f t="shared" si="65"/>
        <v>275</v>
      </c>
      <c r="R98" s="8">
        <f t="shared" si="65"/>
        <v>424</v>
      </c>
      <c r="S98" s="8">
        <f t="shared" si="65"/>
        <v>270</v>
      </c>
      <c r="T98" s="8">
        <f t="shared" si="65"/>
        <v>50</v>
      </c>
      <c r="U98" s="8">
        <f t="shared" si="65"/>
        <v>0</v>
      </c>
      <c r="V98" s="8">
        <f t="shared" si="65"/>
        <v>770</v>
      </c>
      <c r="W98" s="8">
        <f t="shared" si="63"/>
        <v>10640</v>
      </c>
      <c r="X98" s="9"/>
    </row>
    <row r="99" spans="1:24">
      <c r="A99" s="5" t="s">
        <v>248</v>
      </c>
      <c r="B99" s="32" t="s">
        <v>245</v>
      </c>
      <c r="C99" s="32"/>
      <c r="D99" s="15"/>
      <c r="E99" s="16">
        <v>515</v>
      </c>
      <c r="F99" s="16">
        <v>671</v>
      </c>
      <c r="G99" s="16">
        <v>992</v>
      </c>
      <c r="H99" s="16"/>
      <c r="I99" s="16"/>
      <c r="J99" s="16"/>
      <c r="K99" s="16"/>
      <c r="L99" s="16"/>
      <c r="M99" s="16"/>
      <c r="N99" s="16"/>
      <c r="O99" s="16"/>
      <c r="P99" s="16"/>
      <c r="Q99" s="16"/>
      <c r="R99" s="16"/>
      <c r="S99" s="16"/>
      <c r="T99" s="16"/>
      <c r="U99" s="16"/>
      <c r="V99" s="16">
        <v>770</v>
      </c>
      <c r="W99" s="8">
        <f t="shared" si="63"/>
        <v>2948</v>
      </c>
      <c r="X99" s="9"/>
    </row>
    <row r="100" spans="1:24">
      <c r="A100" s="5" t="s">
        <v>250</v>
      </c>
      <c r="B100" s="32" t="s">
        <v>247</v>
      </c>
      <c r="C100" s="32"/>
      <c r="D100" s="7"/>
      <c r="E100" s="10"/>
      <c r="F100" s="10"/>
      <c r="G100" s="10"/>
      <c r="H100" s="10">
        <v>797</v>
      </c>
      <c r="I100" s="10">
        <v>731</v>
      </c>
      <c r="J100" s="10">
        <v>747</v>
      </c>
      <c r="K100" s="10">
        <v>1646</v>
      </c>
      <c r="L100" s="10"/>
      <c r="M100" s="10"/>
      <c r="N100" s="10"/>
      <c r="O100" s="10"/>
      <c r="P100" s="10"/>
      <c r="Q100" s="10"/>
      <c r="R100" s="10"/>
      <c r="S100" s="10"/>
      <c r="T100" s="10"/>
      <c r="U100" s="10"/>
      <c r="V100" s="10"/>
      <c r="W100" s="8">
        <f t="shared" si="63"/>
        <v>3921</v>
      </c>
      <c r="X100" s="9"/>
    </row>
    <row r="101" spans="1:24">
      <c r="A101" s="5" t="s">
        <v>252</v>
      </c>
      <c r="B101" s="32" t="s">
        <v>249</v>
      </c>
      <c r="C101" s="32"/>
      <c r="D101" s="15"/>
      <c r="E101" s="16"/>
      <c r="F101" s="16"/>
      <c r="G101" s="16"/>
      <c r="H101" s="16"/>
      <c r="I101" s="16"/>
      <c r="J101" s="16"/>
      <c r="K101" s="16"/>
      <c r="L101" s="16">
        <v>618</v>
      </c>
      <c r="M101" s="16">
        <v>477</v>
      </c>
      <c r="N101" s="16">
        <v>896</v>
      </c>
      <c r="O101" s="16">
        <v>274</v>
      </c>
      <c r="P101" s="16">
        <v>487</v>
      </c>
      <c r="Q101" s="16">
        <v>275</v>
      </c>
      <c r="R101" s="16">
        <v>424</v>
      </c>
      <c r="S101" s="16">
        <v>270</v>
      </c>
      <c r="T101" s="16">
        <v>50</v>
      </c>
      <c r="U101" s="16"/>
      <c r="V101" s="16"/>
      <c r="W101" s="8">
        <f t="shared" si="63"/>
        <v>3771</v>
      </c>
      <c r="X101" s="9"/>
    </row>
    <row r="102" spans="1:24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8">
        <f t="shared" si="63"/>
        <v>0</v>
      </c>
      <c r="X102" s="9"/>
    </row>
    <row r="103" spans="1:24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33"/>
      <c r="R103" s="33"/>
      <c r="S103" s="33"/>
      <c r="T103" s="33"/>
      <c r="U103" s="33"/>
      <c r="V103" s="33"/>
      <c r="W103" s="8">
        <f t="shared" si="63"/>
        <v>0</v>
      </c>
      <c r="X103" s="9"/>
    </row>
    <row r="104" spans="1:24">
      <c r="A104" s="5" t="s">
        <v>257</v>
      </c>
      <c r="B104" s="6" t="s">
        <v>261</v>
      </c>
      <c r="C104" s="6"/>
      <c r="D104" s="7"/>
      <c r="E104" s="10">
        <v>74</v>
      </c>
      <c r="F104" s="10">
        <v>42</v>
      </c>
      <c r="G104" s="10"/>
      <c r="H104" s="10">
        <v>80</v>
      </c>
      <c r="I104" s="10">
        <v>56</v>
      </c>
      <c r="J104" s="10">
        <v>32</v>
      </c>
      <c r="K104" s="10">
        <v>24</v>
      </c>
      <c r="L104" s="10">
        <v>23</v>
      </c>
      <c r="M104" s="10">
        <v>9</v>
      </c>
      <c r="N104" s="10">
        <v>8</v>
      </c>
      <c r="O104" s="10"/>
      <c r="P104" s="10">
        <v>5</v>
      </c>
      <c r="Q104" s="10"/>
      <c r="R104" s="10"/>
      <c r="S104" s="10"/>
      <c r="T104" s="10"/>
      <c r="U104" s="10">
        <v>5</v>
      </c>
      <c r="V104" s="10">
        <v>40</v>
      </c>
      <c r="W104" s="8">
        <f t="shared" si="63"/>
        <v>398</v>
      </c>
      <c r="X104" s="9"/>
    </row>
    <row r="105" spans="1:24">
      <c r="A105" s="5" t="s">
        <v>258</v>
      </c>
      <c r="B105" s="32" t="s">
        <v>262</v>
      </c>
      <c r="C105" s="32"/>
      <c r="D105" s="20"/>
      <c r="E105" s="10">
        <v>7918.03</v>
      </c>
      <c r="F105" s="10">
        <v>22086.07</v>
      </c>
      <c r="G105" s="10">
        <v>17286.64</v>
      </c>
      <c r="H105" s="10">
        <v>12767.21</v>
      </c>
      <c r="I105" s="10">
        <v>10982.08</v>
      </c>
      <c r="J105" s="10">
        <v>6545.95</v>
      </c>
      <c r="K105" s="10">
        <v>20689.72</v>
      </c>
      <c r="L105" s="10">
        <v>9404.5</v>
      </c>
      <c r="M105" s="10">
        <v>4648.8900000000003</v>
      </c>
      <c r="N105" s="10">
        <v>11557.68</v>
      </c>
      <c r="O105" s="10">
        <v>5904.38</v>
      </c>
      <c r="P105" s="10">
        <v>8599.06</v>
      </c>
      <c r="Q105" s="10">
        <v>5925.03</v>
      </c>
      <c r="R105" s="10">
        <v>7947.39</v>
      </c>
      <c r="S105" s="10">
        <v>5724.12</v>
      </c>
      <c r="T105" s="10">
        <v>7630</v>
      </c>
      <c r="U105" s="10"/>
      <c r="V105" s="10">
        <v>12319.48</v>
      </c>
      <c r="W105" s="8">
        <f t="shared" si="63"/>
        <v>177936.23</v>
      </c>
      <c r="X105" s="9"/>
    </row>
    <row r="106" spans="1:24">
      <c r="A106" s="5" t="s">
        <v>259</v>
      </c>
      <c r="B106" s="32" t="s">
        <v>263</v>
      </c>
      <c r="C106" s="32"/>
      <c r="D106" s="20"/>
      <c r="E106" s="10">
        <v>5700</v>
      </c>
      <c r="F106" s="10">
        <v>9560.9500000000007</v>
      </c>
      <c r="G106" s="10">
        <v>8804.2000000000007</v>
      </c>
      <c r="H106" s="10">
        <v>7538</v>
      </c>
      <c r="I106" s="10">
        <v>9586</v>
      </c>
      <c r="J106" s="10">
        <v>3899</v>
      </c>
      <c r="K106" s="10">
        <v>12205</v>
      </c>
      <c r="L106" s="10">
        <v>4143</v>
      </c>
      <c r="M106" s="10">
        <v>2486</v>
      </c>
      <c r="N106" s="10">
        <v>4215.3500000000004</v>
      </c>
      <c r="O106" s="10">
        <v>2318.6999999999998</v>
      </c>
      <c r="P106" s="10">
        <v>3543</v>
      </c>
      <c r="Q106" s="10">
        <v>2030</v>
      </c>
      <c r="R106" s="10">
        <v>5677.6</v>
      </c>
      <c r="S106" s="10">
        <v>1964.4</v>
      </c>
      <c r="T106" s="10">
        <v>1089</v>
      </c>
      <c r="U106" s="10"/>
      <c r="V106" s="10">
        <v>3530</v>
      </c>
      <c r="W106" s="8">
        <f t="shared" si="63"/>
        <v>88290.2</v>
      </c>
      <c r="X106" s="9"/>
    </row>
    <row r="107" spans="1:24">
      <c r="E107" s="86">
        <f t="shared" ref="E107:W107" si="66">E4/E93</f>
        <v>364564.11967741937</v>
      </c>
      <c r="F107" s="1">
        <f t="shared" si="66"/>
        <v>348729.75472222216</v>
      </c>
      <c r="G107" s="1">
        <f t="shared" si="66"/>
        <v>337209.77712500002</v>
      </c>
      <c r="H107" s="1">
        <f t="shared" si="66"/>
        <v>347244.44559999998</v>
      </c>
      <c r="I107" s="1">
        <f t="shared" si="66"/>
        <v>356166.76975308644</v>
      </c>
      <c r="J107" s="1">
        <f t="shared" si="66"/>
        <v>343748.16062499996</v>
      </c>
      <c r="K107" s="1">
        <f t="shared" si="66"/>
        <v>342095.54784482764</v>
      </c>
      <c r="L107" s="1">
        <f t="shared" si="66"/>
        <v>323259.70508474577</v>
      </c>
      <c r="M107" s="1">
        <f t="shared" si="66"/>
        <v>323955.5988888889</v>
      </c>
      <c r="N107" s="1">
        <f t="shared" si="66"/>
        <v>312687.48797101452</v>
      </c>
      <c r="O107" s="1">
        <f t="shared" si="66"/>
        <v>311507.66619047621</v>
      </c>
      <c r="P107" s="1">
        <f t="shared" si="66"/>
        <v>310948.63660000003</v>
      </c>
      <c r="Q107" s="1">
        <f t="shared" si="66"/>
        <v>313700.76640000002</v>
      </c>
      <c r="R107" s="1">
        <f t="shared" si="66"/>
        <v>302451.52850000001</v>
      </c>
      <c r="S107" s="1">
        <f t="shared" si="66"/>
        <v>311862.76187500003</v>
      </c>
      <c r="T107" s="1">
        <f t="shared" si="66"/>
        <v>320455.62</v>
      </c>
      <c r="U107" s="1">
        <f t="shared" si="66"/>
        <v>350427.24</v>
      </c>
      <c r="V107" s="1">
        <f t="shared" si="66"/>
        <v>358999.42107692308</v>
      </c>
      <c r="W107" s="1">
        <f t="shared" si="66"/>
        <v>337037.19229715492</v>
      </c>
    </row>
  </sheetData>
  <protectedRanges>
    <protectedRange password="E9C1" sqref="D28 W21:X26 X20 W4:X9 X10 X27 A2:X3 A4:D5 W11:X19 B6:D26 W28:X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X1"/>
  </mergeCells>
  <phoneticPr fontId="3" type="noConversion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11"/>
  <sheetViews>
    <sheetView workbookViewId="0">
      <pane xSplit="4" ySplit="2" topLeftCell="K77" activePane="bottomRight" state="frozen"/>
      <selection pane="topRight" activeCell="E1" sqref="E1"/>
      <selection pane="bottomLeft" activeCell="A3" sqref="A3"/>
      <selection pane="bottomRight" activeCell="Q3" sqref="Q3:Q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18" ht="25.5">
      <c r="A1" s="343" t="s">
        <v>0</v>
      </c>
      <c r="B1" s="344"/>
      <c r="C1" s="344"/>
      <c r="D1" s="344"/>
      <c r="E1" s="344"/>
      <c r="F1" s="344"/>
      <c r="G1" s="344"/>
      <c r="H1" s="344"/>
      <c r="I1" s="344"/>
      <c r="J1" s="344"/>
      <c r="K1" s="344"/>
      <c r="L1" s="344"/>
      <c r="M1" s="344"/>
      <c r="N1" s="344"/>
      <c r="O1" s="344"/>
      <c r="P1" s="344"/>
      <c r="Q1" s="344"/>
      <c r="R1" s="344"/>
    </row>
    <row r="2" spans="1:18" ht="30" customHeight="1">
      <c r="A2" s="2" t="s">
        <v>1</v>
      </c>
      <c r="B2" s="2" t="s">
        <v>2</v>
      </c>
      <c r="C2" s="2" t="s">
        <v>3</v>
      </c>
      <c r="D2" s="3" t="s">
        <v>4</v>
      </c>
      <c r="E2" s="3" t="s">
        <v>294</v>
      </c>
      <c r="F2" s="3" t="s">
        <v>295</v>
      </c>
      <c r="G2" s="3" t="s">
        <v>296</v>
      </c>
      <c r="H2" s="3" t="s">
        <v>297</v>
      </c>
      <c r="I2" s="3" t="s">
        <v>298</v>
      </c>
      <c r="J2" s="3" t="s">
        <v>299</v>
      </c>
      <c r="K2" s="3" t="s">
        <v>300</v>
      </c>
      <c r="L2" s="3" t="s">
        <v>301</v>
      </c>
      <c r="M2" s="3" t="s">
        <v>302</v>
      </c>
      <c r="N2" s="3" t="s">
        <v>303</v>
      </c>
      <c r="O2" s="3" t="s">
        <v>304</v>
      </c>
      <c r="P2" s="3" t="s">
        <v>305</v>
      </c>
      <c r="Q2" s="3" t="s">
        <v>24</v>
      </c>
      <c r="R2" s="4" t="s">
        <v>25</v>
      </c>
    </row>
    <row r="3" spans="1:18">
      <c r="A3" s="5" t="s">
        <v>26</v>
      </c>
      <c r="B3" s="6" t="s">
        <v>27</v>
      </c>
      <c r="C3" s="6"/>
      <c r="D3" s="7" t="s">
        <v>28</v>
      </c>
      <c r="E3" s="8">
        <f t="shared" ref="E3:P3" si="0">E4+E30+E49</f>
        <v>3270628.59</v>
      </c>
      <c r="F3" s="8">
        <f t="shared" si="0"/>
        <v>70438786.730000004</v>
      </c>
      <c r="G3" s="8">
        <f t="shared" si="0"/>
        <v>38072104.530000001</v>
      </c>
      <c r="H3" s="8">
        <f t="shared" si="0"/>
        <v>29315112.400000002</v>
      </c>
      <c r="I3" s="8">
        <f t="shared" si="0"/>
        <v>49595424.289999999</v>
      </c>
      <c r="J3" s="8">
        <f t="shared" si="0"/>
        <v>10919410.069999998</v>
      </c>
      <c r="K3" s="8">
        <f t="shared" si="0"/>
        <v>8203156.2200000007</v>
      </c>
      <c r="L3" s="8">
        <f t="shared" si="0"/>
        <v>9897772.8200000003</v>
      </c>
      <c r="M3" s="8">
        <f t="shared" si="0"/>
        <v>9479815.0800000001</v>
      </c>
      <c r="N3" s="8">
        <f t="shared" si="0"/>
        <v>17772593.420000002</v>
      </c>
      <c r="O3" s="8">
        <f t="shared" si="0"/>
        <v>7721789.2400000002</v>
      </c>
      <c r="P3" s="8">
        <f t="shared" si="0"/>
        <v>7698965.6199999992</v>
      </c>
      <c r="Q3" s="8">
        <f t="shared" ref="Q3:Q9" si="1">SUM(E3:P3)</f>
        <v>262385559.00999999</v>
      </c>
      <c r="R3" s="9"/>
    </row>
    <row r="4" spans="1:18">
      <c r="A4" s="5" t="s">
        <v>29</v>
      </c>
      <c r="B4" s="6" t="s">
        <v>30</v>
      </c>
      <c r="C4" s="6"/>
      <c r="D4" s="7" t="s">
        <v>28</v>
      </c>
      <c r="E4" s="8">
        <f t="shared" ref="E4:P4" si="2">E5+E8+E12+E15+E18+E20+E23+E25+E27+E28+E29</f>
        <v>2905521.88</v>
      </c>
      <c r="F4" s="8">
        <f t="shared" si="2"/>
        <v>62385830.439999998</v>
      </c>
      <c r="G4" s="8">
        <f t="shared" si="2"/>
        <v>32181094.439999998</v>
      </c>
      <c r="H4" s="8">
        <f t="shared" si="2"/>
        <v>24917539.510000002</v>
      </c>
      <c r="I4" s="8">
        <f t="shared" si="2"/>
        <v>40992238.719999999</v>
      </c>
      <c r="J4" s="8">
        <f t="shared" si="2"/>
        <v>9598406.209999999</v>
      </c>
      <c r="K4" s="8">
        <f t="shared" si="2"/>
        <v>7017094.6600000001</v>
      </c>
      <c r="L4" s="8">
        <f t="shared" si="2"/>
        <v>8611465.8200000003</v>
      </c>
      <c r="M4" s="8">
        <f t="shared" si="2"/>
        <v>7844213.7699999996</v>
      </c>
      <c r="N4" s="8">
        <f t="shared" si="2"/>
        <v>15368957.850000001</v>
      </c>
      <c r="O4" s="8">
        <f t="shared" si="2"/>
        <v>6454895.9100000001</v>
      </c>
      <c r="P4" s="8">
        <f t="shared" si="2"/>
        <v>6053868.1899999995</v>
      </c>
      <c r="Q4" s="8">
        <f t="shared" si="1"/>
        <v>224331127.40000001</v>
      </c>
      <c r="R4" s="9"/>
    </row>
    <row r="5" spans="1:18">
      <c r="A5" s="5" t="s">
        <v>31</v>
      </c>
      <c r="B5" s="6" t="s">
        <v>32</v>
      </c>
      <c r="C5" s="6"/>
      <c r="D5" s="7" t="s">
        <v>28</v>
      </c>
      <c r="E5" s="8">
        <f>E6+E7</f>
        <v>436692</v>
      </c>
      <c r="F5" s="8">
        <f t="shared" ref="F5:P5" si="3">F6+F7</f>
        <v>9703476</v>
      </c>
      <c r="G5" s="8">
        <f t="shared" si="3"/>
        <v>3593568</v>
      </c>
      <c r="H5" s="8">
        <f t="shared" si="3"/>
        <v>2871588</v>
      </c>
      <c r="I5" s="8">
        <f t="shared" si="3"/>
        <v>4601004</v>
      </c>
      <c r="J5" s="8">
        <f t="shared" si="3"/>
        <v>1455612</v>
      </c>
      <c r="K5" s="8">
        <f t="shared" si="3"/>
        <v>921336</v>
      </c>
      <c r="L5" s="8">
        <f t="shared" si="3"/>
        <v>1070320.7999999998</v>
      </c>
      <c r="M5" s="8">
        <f t="shared" si="3"/>
        <v>951012</v>
      </c>
      <c r="N5" s="8">
        <f t="shared" si="3"/>
        <v>1923084</v>
      </c>
      <c r="O5" s="8">
        <f t="shared" si="3"/>
        <v>775608</v>
      </c>
      <c r="P5" s="8">
        <f t="shared" si="3"/>
        <v>701976</v>
      </c>
      <c r="Q5" s="8">
        <f t="shared" si="1"/>
        <v>29005276.800000001</v>
      </c>
      <c r="R5" s="9"/>
    </row>
    <row r="6" spans="1:18">
      <c r="A6" s="5" t="s">
        <v>33</v>
      </c>
      <c r="B6" s="6" t="s">
        <v>34</v>
      </c>
      <c r="C6" s="6" t="s">
        <v>35</v>
      </c>
      <c r="D6" s="7" t="s">
        <v>36</v>
      </c>
      <c r="E6" s="10">
        <v>207840</v>
      </c>
      <c r="F6" s="10">
        <v>4735128</v>
      </c>
      <c r="G6" s="10">
        <v>2322252</v>
      </c>
      <c r="H6" s="10">
        <v>1892376</v>
      </c>
      <c r="I6" s="10">
        <v>3004692</v>
      </c>
      <c r="J6" s="10">
        <v>760848</v>
      </c>
      <c r="K6" s="10">
        <v>573240</v>
      </c>
      <c r="L6" s="10">
        <v>682651.2</v>
      </c>
      <c r="M6" s="10">
        <v>619212</v>
      </c>
      <c r="N6" s="10">
        <v>1255488</v>
      </c>
      <c r="O6" s="10">
        <v>508200</v>
      </c>
      <c r="P6" s="10">
        <v>476520</v>
      </c>
      <c r="Q6" s="8">
        <f t="shared" si="1"/>
        <v>17038447.199999999</v>
      </c>
      <c r="R6" s="11"/>
    </row>
    <row r="7" spans="1:18">
      <c r="A7" s="5" t="s">
        <v>37</v>
      </c>
      <c r="B7" s="6" t="s">
        <v>38</v>
      </c>
      <c r="C7" s="6" t="s">
        <v>35</v>
      </c>
      <c r="D7" s="7" t="s">
        <v>36</v>
      </c>
      <c r="E7" s="10">
        <v>228852</v>
      </c>
      <c r="F7" s="10">
        <v>4968348</v>
      </c>
      <c r="G7" s="10">
        <v>1271316</v>
      </c>
      <c r="H7" s="10">
        <v>979212</v>
      </c>
      <c r="I7" s="10">
        <v>1596312</v>
      </c>
      <c r="J7" s="10">
        <v>694764</v>
      </c>
      <c r="K7" s="10">
        <v>348096</v>
      </c>
      <c r="L7" s="10">
        <v>387669.6</v>
      </c>
      <c r="M7" s="10">
        <v>331800</v>
      </c>
      <c r="N7" s="10">
        <v>667596</v>
      </c>
      <c r="O7" s="10">
        <v>267408</v>
      </c>
      <c r="P7" s="10">
        <v>225456</v>
      </c>
      <c r="Q7" s="8">
        <f t="shared" si="1"/>
        <v>11966829.6</v>
      </c>
      <c r="R7" s="9"/>
    </row>
    <row r="8" spans="1:18">
      <c r="A8" s="5" t="s">
        <v>39</v>
      </c>
      <c r="B8" s="6" t="s">
        <v>40</v>
      </c>
      <c r="C8" s="6"/>
      <c r="D8" s="7" t="s">
        <v>28</v>
      </c>
      <c r="E8" s="8">
        <f>E9+E10</f>
        <v>42912</v>
      </c>
      <c r="F8" s="8">
        <f t="shared" ref="F8:P8" si="4">F9+F10</f>
        <v>908916</v>
      </c>
      <c r="G8" s="8">
        <f t="shared" si="4"/>
        <v>503592</v>
      </c>
      <c r="H8" s="8">
        <f t="shared" si="4"/>
        <v>387864</v>
      </c>
      <c r="I8" s="8">
        <f t="shared" si="4"/>
        <v>648660</v>
      </c>
      <c r="J8" s="8">
        <f t="shared" si="4"/>
        <v>155964</v>
      </c>
      <c r="K8" s="8">
        <f t="shared" si="4"/>
        <v>117480</v>
      </c>
      <c r="L8" s="8">
        <f t="shared" si="4"/>
        <v>143808</v>
      </c>
      <c r="M8" s="8">
        <f t="shared" si="4"/>
        <v>133332</v>
      </c>
      <c r="N8" s="8">
        <f t="shared" si="4"/>
        <v>271584</v>
      </c>
      <c r="O8" s="8">
        <f t="shared" si="4"/>
        <v>116484</v>
      </c>
      <c r="P8" s="8">
        <f t="shared" si="4"/>
        <v>106236</v>
      </c>
      <c r="Q8" s="8">
        <f t="shared" si="1"/>
        <v>3536832</v>
      </c>
      <c r="R8" s="9"/>
    </row>
    <row r="9" spans="1:18">
      <c r="A9" s="5" t="s">
        <v>41</v>
      </c>
      <c r="B9" s="6" t="s">
        <v>42</v>
      </c>
      <c r="C9" s="6" t="s">
        <v>35</v>
      </c>
      <c r="D9" s="7" t="s">
        <v>36</v>
      </c>
      <c r="E9" s="10">
        <v>672</v>
      </c>
      <c r="F9" s="10">
        <v>16596</v>
      </c>
      <c r="G9" s="10">
        <v>1992</v>
      </c>
      <c r="H9" s="10">
        <v>2424</v>
      </c>
      <c r="I9" s="10">
        <v>4500</v>
      </c>
      <c r="J9" s="10">
        <v>2844</v>
      </c>
      <c r="K9" s="10">
        <v>1320</v>
      </c>
      <c r="L9" s="10">
        <v>1248</v>
      </c>
      <c r="M9" s="10">
        <v>1332</v>
      </c>
      <c r="N9" s="10">
        <v>2304</v>
      </c>
      <c r="O9" s="10">
        <v>5604</v>
      </c>
      <c r="P9" s="10">
        <v>636</v>
      </c>
      <c r="Q9" s="8">
        <f t="shared" si="1"/>
        <v>41472</v>
      </c>
      <c r="R9" s="9"/>
    </row>
    <row r="10" spans="1:18">
      <c r="A10" s="5" t="s">
        <v>43</v>
      </c>
      <c r="B10" s="6" t="s">
        <v>44</v>
      </c>
      <c r="C10" s="6"/>
      <c r="D10" s="7" t="s">
        <v>28</v>
      </c>
      <c r="E10" s="8">
        <f>E11</f>
        <v>42240</v>
      </c>
      <c r="F10" s="8">
        <f t="shared" ref="F10:Q10" si="5">F11</f>
        <v>892320</v>
      </c>
      <c r="G10" s="8">
        <f t="shared" si="5"/>
        <v>501600</v>
      </c>
      <c r="H10" s="8">
        <f t="shared" si="5"/>
        <v>385440</v>
      </c>
      <c r="I10" s="8">
        <f t="shared" si="5"/>
        <v>644160</v>
      </c>
      <c r="J10" s="8">
        <f t="shared" si="5"/>
        <v>153120</v>
      </c>
      <c r="K10" s="8">
        <f t="shared" si="5"/>
        <v>116160</v>
      </c>
      <c r="L10" s="8">
        <f t="shared" si="5"/>
        <v>142560</v>
      </c>
      <c r="M10" s="8">
        <f t="shared" si="5"/>
        <v>132000</v>
      </c>
      <c r="N10" s="8">
        <f t="shared" si="5"/>
        <v>269280</v>
      </c>
      <c r="O10" s="8">
        <f t="shared" si="5"/>
        <v>110880</v>
      </c>
      <c r="P10" s="8">
        <f t="shared" si="5"/>
        <v>105600</v>
      </c>
      <c r="Q10" s="8">
        <f t="shared" si="5"/>
        <v>3495360</v>
      </c>
      <c r="R10" s="9"/>
    </row>
    <row r="11" spans="1:18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>440*12*E93</f>
        <v>42240</v>
      </c>
      <c r="F11" s="8">
        <f t="shared" ref="F11:P11" si="6">440*12*F93</f>
        <v>892320</v>
      </c>
      <c r="G11" s="8">
        <f t="shared" si="6"/>
        <v>501600</v>
      </c>
      <c r="H11" s="8">
        <f t="shared" si="6"/>
        <v>385440</v>
      </c>
      <c r="I11" s="8">
        <f t="shared" si="6"/>
        <v>644160</v>
      </c>
      <c r="J11" s="8">
        <f t="shared" si="6"/>
        <v>153120</v>
      </c>
      <c r="K11" s="8">
        <f t="shared" si="6"/>
        <v>116160</v>
      </c>
      <c r="L11" s="8">
        <f t="shared" si="6"/>
        <v>142560</v>
      </c>
      <c r="M11" s="8">
        <f t="shared" si="6"/>
        <v>132000</v>
      </c>
      <c r="N11" s="8">
        <f t="shared" si="6"/>
        <v>269280</v>
      </c>
      <c r="O11" s="8">
        <f t="shared" si="6"/>
        <v>110880</v>
      </c>
      <c r="P11" s="8">
        <f t="shared" si="6"/>
        <v>105600</v>
      </c>
      <c r="Q11" s="8">
        <f t="shared" ref="Q11:Q26" si="7">SUM(E11:P11)</f>
        <v>3495360</v>
      </c>
      <c r="R11" s="9"/>
    </row>
    <row r="12" spans="1:18">
      <c r="A12" s="5" t="s">
        <v>47</v>
      </c>
      <c r="B12" s="6" t="s">
        <v>48</v>
      </c>
      <c r="C12" s="6"/>
      <c r="D12" s="7" t="s">
        <v>49</v>
      </c>
      <c r="E12" s="8">
        <f>E13+E14</f>
        <v>14583.89</v>
      </c>
      <c r="F12" s="8">
        <f t="shared" ref="F12:P12" si="8">F13+F14</f>
        <v>301212.43</v>
      </c>
      <c r="G12" s="8">
        <f t="shared" si="8"/>
        <v>152658.43</v>
      </c>
      <c r="H12" s="8">
        <f t="shared" si="8"/>
        <v>118577.51999999999</v>
      </c>
      <c r="I12" s="8">
        <f t="shared" si="8"/>
        <v>190764.72</v>
      </c>
      <c r="J12" s="8">
        <f t="shared" si="8"/>
        <v>44936.2</v>
      </c>
      <c r="K12" s="8">
        <f t="shared" si="8"/>
        <v>32770.65</v>
      </c>
      <c r="L12" s="8">
        <f t="shared" si="8"/>
        <v>41205.020000000004</v>
      </c>
      <c r="M12" s="8">
        <f t="shared" si="8"/>
        <v>36689.759999999995</v>
      </c>
      <c r="N12" s="8">
        <f t="shared" si="8"/>
        <v>64781.85</v>
      </c>
      <c r="O12" s="8">
        <f t="shared" si="8"/>
        <v>28931.91</v>
      </c>
      <c r="P12" s="8">
        <f t="shared" si="8"/>
        <v>26700.190000000002</v>
      </c>
      <c r="Q12" s="8">
        <f t="shared" si="7"/>
        <v>1053812.57</v>
      </c>
      <c r="R12" s="9"/>
    </row>
    <row r="13" spans="1:18" s="13" customFormat="1">
      <c r="A13" s="5" t="s">
        <v>50</v>
      </c>
      <c r="B13" s="49" t="s">
        <v>584</v>
      </c>
      <c r="C13" s="12" t="s">
        <v>35</v>
      </c>
      <c r="D13" s="9" t="s">
        <v>51</v>
      </c>
      <c r="E13" s="8">
        <f>ROUND(E28/0.07*0.00256,2)</f>
        <v>4938.46</v>
      </c>
      <c r="F13" s="8">
        <f t="shared" ref="F13:P13" si="9">ROUND(F28/0.07*0.00256,2)</f>
        <v>101997.86</v>
      </c>
      <c r="G13" s="8">
        <f t="shared" si="9"/>
        <v>51693.86</v>
      </c>
      <c r="H13" s="8">
        <f t="shared" si="9"/>
        <v>40153.230000000003</v>
      </c>
      <c r="I13" s="8">
        <f t="shared" si="9"/>
        <v>64597.58</v>
      </c>
      <c r="J13" s="8">
        <f t="shared" si="9"/>
        <v>15216.49</v>
      </c>
      <c r="K13" s="8">
        <f t="shared" si="9"/>
        <v>11096.94</v>
      </c>
      <c r="L13" s="8">
        <f t="shared" si="9"/>
        <v>13953.02</v>
      </c>
      <c r="M13" s="8">
        <f t="shared" si="9"/>
        <v>12424.05</v>
      </c>
      <c r="N13" s="8">
        <f t="shared" si="9"/>
        <v>21936.71</v>
      </c>
      <c r="O13" s="8">
        <f t="shared" si="9"/>
        <v>9797.0499999999993</v>
      </c>
      <c r="P13" s="8">
        <f t="shared" si="9"/>
        <v>9041.33</v>
      </c>
      <c r="Q13" s="8">
        <f t="shared" si="7"/>
        <v>356846.58</v>
      </c>
      <c r="R13" s="9"/>
    </row>
    <row r="14" spans="1:18" s="13" customFormat="1">
      <c r="A14" s="5" t="s">
        <v>52</v>
      </c>
      <c r="B14" s="49" t="s">
        <v>585</v>
      </c>
      <c r="C14" s="12" t="s">
        <v>35</v>
      </c>
      <c r="D14" s="9" t="s">
        <v>51</v>
      </c>
      <c r="E14" s="8">
        <f>ROUND(E28/0.07*0.005,2)</f>
        <v>9645.43</v>
      </c>
      <c r="F14" s="8">
        <f t="shared" ref="F14:P14" si="10">ROUND(F28/0.07*0.005,2)</f>
        <v>199214.57</v>
      </c>
      <c r="G14" s="8">
        <f t="shared" si="10"/>
        <v>100964.57</v>
      </c>
      <c r="H14" s="8">
        <f t="shared" si="10"/>
        <v>78424.289999999994</v>
      </c>
      <c r="I14" s="8">
        <f t="shared" si="10"/>
        <v>126167.14</v>
      </c>
      <c r="J14" s="8">
        <f t="shared" si="10"/>
        <v>29719.71</v>
      </c>
      <c r="K14" s="8">
        <f t="shared" si="10"/>
        <v>21673.71</v>
      </c>
      <c r="L14" s="8">
        <f t="shared" si="10"/>
        <v>27252</v>
      </c>
      <c r="M14" s="8">
        <f t="shared" si="10"/>
        <v>24265.71</v>
      </c>
      <c r="N14" s="8">
        <f t="shared" si="10"/>
        <v>42845.14</v>
      </c>
      <c r="O14" s="8">
        <f t="shared" si="10"/>
        <v>19134.86</v>
      </c>
      <c r="P14" s="8">
        <f t="shared" si="10"/>
        <v>17658.86</v>
      </c>
      <c r="Q14" s="8">
        <f t="shared" si="7"/>
        <v>696965.98999999987</v>
      </c>
      <c r="R14" s="9"/>
    </row>
    <row r="15" spans="1:18">
      <c r="A15" s="5" t="s">
        <v>53</v>
      </c>
      <c r="B15" s="6" t="s">
        <v>55</v>
      </c>
      <c r="C15" s="6"/>
      <c r="D15" s="7" t="s">
        <v>28</v>
      </c>
      <c r="E15" s="8">
        <v>1485600</v>
      </c>
      <c r="F15" s="8">
        <v>32329700</v>
      </c>
      <c r="G15" s="8">
        <v>18173500</v>
      </c>
      <c r="H15" s="8">
        <v>13964900</v>
      </c>
      <c r="I15" s="8">
        <v>23338600</v>
      </c>
      <c r="J15" s="8">
        <v>5063400</v>
      </c>
      <c r="K15" s="8">
        <v>3841200</v>
      </c>
      <c r="L15" s="8">
        <v>4714200</v>
      </c>
      <c r="M15" s="8">
        <v>4365000</v>
      </c>
      <c r="N15" s="8">
        <v>8904600</v>
      </c>
      <c r="O15" s="8">
        <v>3666600</v>
      </c>
      <c r="P15" s="8">
        <v>3492000</v>
      </c>
      <c r="Q15" s="8">
        <f t="shared" si="7"/>
        <v>123339300</v>
      </c>
      <c r="R15" s="9"/>
    </row>
    <row r="16" spans="1:18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1485600</v>
      </c>
      <c r="F16" s="16">
        <f t="shared" ref="F16:N16" si="11">F15-F17</f>
        <v>31956900</v>
      </c>
      <c r="G16" s="16">
        <f t="shared" si="11"/>
        <v>18173500</v>
      </c>
      <c r="H16" s="16">
        <f t="shared" si="11"/>
        <v>13759088</v>
      </c>
      <c r="I16" s="16">
        <f t="shared" si="11"/>
        <v>23081920</v>
      </c>
      <c r="J16" s="16">
        <f t="shared" si="11"/>
        <v>4887784</v>
      </c>
      <c r="K16" s="16">
        <f t="shared" si="11"/>
        <v>3666544</v>
      </c>
      <c r="L16" s="16">
        <f t="shared" si="11"/>
        <v>4532464</v>
      </c>
      <c r="M16" s="16">
        <f t="shared" si="11"/>
        <v>4198064</v>
      </c>
      <c r="N16" s="16">
        <f t="shared" si="11"/>
        <v>8706448</v>
      </c>
      <c r="O16" s="16">
        <f>O15-O17</f>
        <v>3496196</v>
      </c>
      <c r="P16" s="16">
        <f t="shared" ref="P16" si="12">P15-P17</f>
        <v>3325064</v>
      </c>
      <c r="Q16" s="8">
        <f t="shared" si="7"/>
        <v>121269572</v>
      </c>
      <c r="R16" s="15"/>
    </row>
    <row r="17" spans="1:18">
      <c r="A17" s="5" t="s">
        <v>56</v>
      </c>
      <c r="B17" s="14" t="s">
        <v>60</v>
      </c>
      <c r="C17" s="14" t="s">
        <v>35</v>
      </c>
      <c r="D17" s="15" t="s">
        <v>61</v>
      </c>
      <c r="E17" s="16"/>
      <c r="F17" s="16">
        <v>372800</v>
      </c>
      <c r="G17" s="16"/>
      <c r="H17" s="16">
        <v>205812</v>
      </c>
      <c r="I17" s="16">
        <v>256680</v>
      </c>
      <c r="J17" s="16">
        <v>175616</v>
      </c>
      <c r="K17" s="16">
        <v>174656</v>
      </c>
      <c r="L17" s="16">
        <v>181736</v>
      </c>
      <c r="M17" s="16">
        <v>166936</v>
      </c>
      <c r="N17" s="16">
        <v>198152</v>
      </c>
      <c r="O17" s="16">
        <v>170404</v>
      </c>
      <c r="P17" s="16">
        <v>166936</v>
      </c>
      <c r="Q17" s="8">
        <f t="shared" si="7"/>
        <v>2069728</v>
      </c>
      <c r="R17" s="15"/>
    </row>
    <row r="18" spans="1:18">
      <c r="A18" s="5" t="s">
        <v>59</v>
      </c>
      <c r="B18" s="6" t="s">
        <v>63</v>
      </c>
      <c r="C18" s="6"/>
      <c r="D18" s="15" t="s">
        <v>28</v>
      </c>
      <c r="E18" s="17">
        <f>E19</f>
        <v>202554</v>
      </c>
      <c r="F18" s="17">
        <f t="shared" ref="F18:P18" si="13">F19</f>
        <v>4183506</v>
      </c>
      <c r="G18" s="17">
        <f t="shared" si="13"/>
        <v>2120256</v>
      </c>
      <c r="H18" s="17">
        <f t="shared" si="13"/>
        <v>1646910</v>
      </c>
      <c r="I18" s="17">
        <f t="shared" si="13"/>
        <v>2649510</v>
      </c>
      <c r="J18" s="17">
        <f t="shared" si="13"/>
        <v>624114</v>
      </c>
      <c r="K18" s="17">
        <f t="shared" si="13"/>
        <v>455148</v>
      </c>
      <c r="L18" s="17">
        <f t="shared" si="13"/>
        <v>572292</v>
      </c>
      <c r="M18" s="17">
        <f t="shared" si="13"/>
        <v>509580</v>
      </c>
      <c r="N18" s="17">
        <f t="shared" si="13"/>
        <v>899748</v>
      </c>
      <c r="O18" s="17">
        <f t="shared" si="13"/>
        <v>401832</v>
      </c>
      <c r="P18" s="17">
        <f t="shared" si="13"/>
        <v>370836</v>
      </c>
      <c r="Q18" s="8">
        <f t="shared" si="7"/>
        <v>14636286</v>
      </c>
      <c r="R18" s="15"/>
    </row>
    <row r="19" spans="1:18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202554</v>
      </c>
      <c r="F19" s="17">
        <f t="shared" ref="F19:P19" si="14">ROUND(F28/0.07*0.105,2)</f>
        <v>4183506</v>
      </c>
      <c r="G19" s="17">
        <f t="shared" si="14"/>
        <v>2120256</v>
      </c>
      <c r="H19" s="17">
        <f t="shared" si="14"/>
        <v>1646910</v>
      </c>
      <c r="I19" s="17">
        <f t="shared" si="14"/>
        <v>2649510</v>
      </c>
      <c r="J19" s="17">
        <f t="shared" si="14"/>
        <v>624114</v>
      </c>
      <c r="K19" s="17">
        <f t="shared" si="14"/>
        <v>455148</v>
      </c>
      <c r="L19" s="17">
        <f t="shared" si="14"/>
        <v>572292</v>
      </c>
      <c r="M19" s="17">
        <f t="shared" si="14"/>
        <v>509580</v>
      </c>
      <c r="N19" s="17">
        <f t="shared" si="14"/>
        <v>899748</v>
      </c>
      <c r="O19" s="17">
        <f t="shared" si="14"/>
        <v>401832</v>
      </c>
      <c r="P19" s="17">
        <f t="shared" si="14"/>
        <v>370836</v>
      </c>
      <c r="Q19" s="8">
        <f t="shared" si="7"/>
        <v>14636286</v>
      </c>
      <c r="R19" s="15"/>
    </row>
    <row r="20" spans="1:18">
      <c r="A20" s="5" t="s">
        <v>64</v>
      </c>
      <c r="B20" s="6" t="s">
        <v>68</v>
      </c>
      <c r="C20" s="6"/>
      <c r="D20" s="15" t="s">
        <v>51</v>
      </c>
      <c r="E20" s="17">
        <f>E21+E22</f>
        <v>77163.42</v>
      </c>
      <c r="F20" s="17">
        <f t="shared" ref="F20:P20" si="15">F21+F22</f>
        <v>1593716.58</v>
      </c>
      <c r="G20" s="17">
        <f t="shared" si="15"/>
        <v>807716.58</v>
      </c>
      <c r="H20" s="17">
        <f t="shared" si="15"/>
        <v>627394.28</v>
      </c>
      <c r="I20" s="17">
        <f t="shared" si="15"/>
        <v>1009337.14</v>
      </c>
      <c r="J20" s="17">
        <f t="shared" si="15"/>
        <v>237757.72</v>
      </c>
      <c r="K20" s="17">
        <f t="shared" si="15"/>
        <v>173389.72</v>
      </c>
      <c r="L20" s="17">
        <f t="shared" si="15"/>
        <v>218016</v>
      </c>
      <c r="M20" s="17">
        <f t="shared" si="15"/>
        <v>194125.72</v>
      </c>
      <c r="N20" s="17">
        <f t="shared" si="15"/>
        <v>342761.14</v>
      </c>
      <c r="O20" s="17">
        <f t="shared" si="15"/>
        <v>153078.85999999999</v>
      </c>
      <c r="P20" s="17">
        <f t="shared" si="15"/>
        <v>141270.85999999999</v>
      </c>
      <c r="Q20" s="8">
        <f t="shared" si="7"/>
        <v>5575728.0200000005</v>
      </c>
      <c r="R20" s="15"/>
    </row>
    <row r="21" spans="1:18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38581.71</v>
      </c>
      <c r="F21" s="17">
        <f t="shared" ref="F21:P21" si="16">ROUND(F28/0.07*0.02,2)</f>
        <v>796858.29</v>
      </c>
      <c r="G21" s="17">
        <f t="shared" si="16"/>
        <v>403858.29</v>
      </c>
      <c r="H21" s="17">
        <f t="shared" si="16"/>
        <v>313697.14</v>
      </c>
      <c r="I21" s="17">
        <f t="shared" si="16"/>
        <v>504668.57</v>
      </c>
      <c r="J21" s="17">
        <f t="shared" si="16"/>
        <v>118878.86</v>
      </c>
      <c r="K21" s="17">
        <f t="shared" si="16"/>
        <v>86694.86</v>
      </c>
      <c r="L21" s="17">
        <f t="shared" si="16"/>
        <v>109008</v>
      </c>
      <c r="M21" s="17">
        <f t="shared" si="16"/>
        <v>97062.86</v>
      </c>
      <c r="N21" s="17">
        <f t="shared" si="16"/>
        <v>171380.57</v>
      </c>
      <c r="O21" s="17">
        <f t="shared" si="16"/>
        <v>76539.429999999993</v>
      </c>
      <c r="P21" s="17">
        <f t="shared" si="16"/>
        <v>70635.429999999993</v>
      </c>
      <c r="Q21" s="8">
        <f t="shared" si="7"/>
        <v>2787864.0100000002</v>
      </c>
      <c r="R21" s="15"/>
    </row>
    <row r="22" spans="1:18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38581.71</v>
      </c>
      <c r="F22" s="17">
        <f t="shared" ref="F22:P22" si="17">ROUND(F28/0.07*0.02,2)</f>
        <v>796858.29</v>
      </c>
      <c r="G22" s="17">
        <f t="shared" si="17"/>
        <v>403858.29</v>
      </c>
      <c r="H22" s="17">
        <f t="shared" si="17"/>
        <v>313697.14</v>
      </c>
      <c r="I22" s="17">
        <f t="shared" si="17"/>
        <v>504668.57</v>
      </c>
      <c r="J22" s="17">
        <f t="shared" si="17"/>
        <v>118878.86</v>
      </c>
      <c r="K22" s="17">
        <f t="shared" si="17"/>
        <v>86694.86</v>
      </c>
      <c r="L22" s="17">
        <f t="shared" si="17"/>
        <v>109008</v>
      </c>
      <c r="M22" s="17">
        <f t="shared" si="17"/>
        <v>97062.86</v>
      </c>
      <c r="N22" s="17">
        <f t="shared" si="17"/>
        <v>171380.57</v>
      </c>
      <c r="O22" s="17">
        <f t="shared" si="17"/>
        <v>76539.429999999993</v>
      </c>
      <c r="P22" s="17">
        <f t="shared" si="17"/>
        <v>70635.429999999993</v>
      </c>
      <c r="Q22" s="8">
        <f t="shared" si="7"/>
        <v>2787864.0100000002</v>
      </c>
      <c r="R22" s="15"/>
    </row>
    <row r="23" spans="1:18">
      <c r="A23" s="5" t="s">
        <v>72</v>
      </c>
      <c r="B23" s="6" t="s">
        <v>75</v>
      </c>
      <c r="C23" s="6"/>
      <c r="D23" s="7" t="s">
        <v>28</v>
      </c>
      <c r="E23" s="8">
        <f>E24</f>
        <v>308653.71000000002</v>
      </c>
      <c r="F23" s="8">
        <f t="shared" ref="F23:P23" si="18">F24</f>
        <v>6374866.29</v>
      </c>
      <c r="G23" s="8">
        <f t="shared" si="18"/>
        <v>3230866.29</v>
      </c>
      <c r="H23" s="8">
        <f t="shared" si="18"/>
        <v>2509577.14</v>
      </c>
      <c r="I23" s="8">
        <f t="shared" si="18"/>
        <v>4037348.57</v>
      </c>
      <c r="J23" s="8">
        <f t="shared" si="18"/>
        <v>951030.86</v>
      </c>
      <c r="K23" s="8">
        <f t="shared" si="18"/>
        <v>693558.86</v>
      </c>
      <c r="L23" s="8">
        <f t="shared" si="18"/>
        <v>872064</v>
      </c>
      <c r="M23" s="8">
        <f t="shared" si="18"/>
        <v>776502.86</v>
      </c>
      <c r="N23" s="8">
        <f t="shared" si="18"/>
        <v>1371044.57</v>
      </c>
      <c r="O23" s="8">
        <f t="shared" si="18"/>
        <v>612315.43000000005</v>
      </c>
      <c r="P23" s="8">
        <f t="shared" si="18"/>
        <v>565083.43000000005</v>
      </c>
      <c r="Q23" s="8">
        <f t="shared" si="7"/>
        <v>22302912.009999998</v>
      </c>
      <c r="R23" s="9"/>
    </row>
    <row r="24" spans="1:18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308653.71000000002</v>
      </c>
      <c r="F24" s="8">
        <f t="shared" ref="F24:P24" si="19">ROUND(F28/0.07*0.16,2)</f>
        <v>6374866.29</v>
      </c>
      <c r="G24" s="8">
        <f t="shared" si="19"/>
        <v>3230866.29</v>
      </c>
      <c r="H24" s="8">
        <f t="shared" si="19"/>
        <v>2509577.14</v>
      </c>
      <c r="I24" s="8">
        <f t="shared" si="19"/>
        <v>4037348.57</v>
      </c>
      <c r="J24" s="8">
        <f t="shared" si="19"/>
        <v>951030.86</v>
      </c>
      <c r="K24" s="8">
        <f t="shared" si="19"/>
        <v>693558.86</v>
      </c>
      <c r="L24" s="8">
        <f t="shared" si="19"/>
        <v>872064</v>
      </c>
      <c r="M24" s="8">
        <f t="shared" si="19"/>
        <v>776502.86</v>
      </c>
      <c r="N24" s="8">
        <f t="shared" si="19"/>
        <v>1371044.57</v>
      </c>
      <c r="O24" s="8">
        <f t="shared" si="19"/>
        <v>612315.43000000005</v>
      </c>
      <c r="P24" s="8">
        <f t="shared" si="19"/>
        <v>565083.43000000005</v>
      </c>
      <c r="Q24" s="8">
        <f t="shared" si="7"/>
        <v>22302912.009999998</v>
      </c>
      <c r="R24" s="9"/>
    </row>
    <row r="25" spans="1:18">
      <c r="A25" s="5" t="s">
        <v>76</v>
      </c>
      <c r="B25" s="6" t="s">
        <v>80</v>
      </c>
      <c r="C25" s="6"/>
      <c r="D25" s="7" t="s">
        <v>28</v>
      </c>
      <c r="E25" s="8">
        <f>E26</f>
        <v>154326.85999999999</v>
      </c>
      <c r="F25" s="8">
        <f t="shared" ref="F25:P25" si="20">F26</f>
        <v>3187433.14</v>
      </c>
      <c r="G25" s="8">
        <f t="shared" si="20"/>
        <v>1615433.14</v>
      </c>
      <c r="H25" s="8">
        <f t="shared" si="20"/>
        <v>1254788.57</v>
      </c>
      <c r="I25" s="8">
        <f t="shared" si="20"/>
        <v>2018674.29</v>
      </c>
      <c r="J25" s="8">
        <f t="shared" si="20"/>
        <v>475515.43</v>
      </c>
      <c r="K25" s="8">
        <f t="shared" si="20"/>
        <v>346779.43</v>
      </c>
      <c r="L25" s="8">
        <f t="shared" si="20"/>
        <v>436032</v>
      </c>
      <c r="M25" s="8">
        <f t="shared" si="20"/>
        <v>388251.43</v>
      </c>
      <c r="N25" s="8">
        <f t="shared" si="20"/>
        <v>685522.29</v>
      </c>
      <c r="O25" s="8">
        <f t="shared" si="20"/>
        <v>306157.71000000002</v>
      </c>
      <c r="P25" s="8">
        <f t="shared" si="20"/>
        <v>282541.71000000002</v>
      </c>
      <c r="Q25" s="8">
        <f t="shared" si="7"/>
        <v>11151456</v>
      </c>
      <c r="R25" s="9"/>
    </row>
    <row r="26" spans="1:18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154326.85999999999</v>
      </c>
      <c r="F26" s="8">
        <f t="shared" ref="F26:P26" si="21">ROUND(F28/0.07*0.08,2)</f>
        <v>3187433.14</v>
      </c>
      <c r="G26" s="8">
        <f t="shared" si="21"/>
        <v>1615433.14</v>
      </c>
      <c r="H26" s="8">
        <f t="shared" si="21"/>
        <v>1254788.57</v>
      </c>
      <c r="I26" s="8">
        <f t="shared" si="21"/>
        <v>2018674.29</v>
      </c>
      <c r="J26" s="8">
        <f t="shared" si="21"/>
        <v>475515.43</v>
      </c>
      <c r="K26" s="8">
        <f t="shared" si="21"/>
        <v>346779.43</v>
      </c>
      <c r="L26" s="8">
        <f t="shared" si="21"/>
        <v>436032</v>
      </c>
      <c r="M26" s="8">
        <f t="shared" si="21"/>
        <v>388251.43</v>
      </c>
      <c r="N26" s="8">
        <f t="shared" si="21"/>
        <v>685522.29</v>
      </c>
      <c r="O26" s="8">
        <f t="shared" si="21"/>
        <v>306157.71000000002</v>
      </c>
      <c r="P26" s="8">
        <f t="shared" si="21"/>
        <v>282541.71000000002</v>
      </c>
      <c r="Q26" s="8">
        <f t="shared" si="7"/>
        <v>11151456</v>
      </c>
      <c r="R26" s="9"/>
    </row>
    <row r="27" spans="1:18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48000</v>
      </c>
      <c r="F27" s="8">
        <f t="shared" ref="F27:Q27" si="22">6000*F93</f>
        <v>1014000</v>
      </c>
      <c r="G27" s="8">
        <f t="shared" si="22"/>
        <v>570000</v>
      </c>
      <c r="H27" s="8">
        <f t="shared" si="22"/>
        <v>438000</v>
      </c>
      <c r="I27" s="8">
        <f t="shared" si="22"/>
        <v>732000</v>
      </c>
      <c r="J27" s="8">
        <f t="shared" si="22"/>
        <v>174000</v>
      </c>
      <c r="K27" s="8">
        <f t="shared" si="22"/>
        <v>132000</v>
      </c>
      <c r="L27" s="8">
        <f t="shared" si="22"/>
        <v>162000</v>
      </c>
      <c r="M27" s="8">
        <f t="shared" si="22"/>
        <v>150000</v>
      </c>
      <c r="N27" s="8">
        <f t="shared" si="22"/>
        <v>306000</v>
      </c>
      <c r="O27" s="8">
        <f t="shared" si="22"/>
        <v>126000</v>
      </c>
      <c r="P27" s="8">
        <f t="shared" si="22"/>
        <v>120000</v>
      </c>
      <c r="Q27" s="8">
        <f t="shared" si="22"/>
        <v>3972000</v>
      </c>
      <c r="R27" s="9"/>
    </row>
    <row r="28" spans="1:18">
      <c r="A28" s="5" t="s">
        <v>84</v>
      </c>
      <c r="B28" s="6" t="s">
        <v>88</v>
      </c>
      <c r="C28" s="6" t="s">
        <v>88</v>
      </c>
      <c r="D28" s="7" t="s">
        <v>89</v>
      </c>
      <c r="E28" s="16">
        <v>135036</v>
      </c>
      <c r="F28" s="16">
        <v>2789004</v>
      </c>
      <c r="G28" s="16">
        <v>1413504</v>
      </c>
      <c r="H28" s="16">
        <v>1097940</v>
      </c>
      <c r="I28" s="16">
        <v>1766340</v>
      </c>
      <c r="J28" s="16">
        <v>416076</v>
      </c>
      <c r="K28" s="16">
        <v>303432</v>
      </c>
      <c r="L28" s="16">
        <v>381528</v>
      </c>
      <c r="M28" s="16">
        <v>339720</v>
      </c>
      <c r="N28" s="16">
        <v>599832</v>
      </c>
      <c r="O28" s="16">
        <v>267888</v>
      </c>
      <c r="P28" s="16">
        <v>247224</v>
      </c>
      <c r="Q28" s="8">
        <f t="shared" ref="Q28:Q89" si="23">SUM(E28:P28)</f>
        <v>9757524</v>
      </c>
      <c r="R28" s="15"/>
    </row>
    <row r="29" spans="1:18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8">
        <f t="shared" si="23"/>
        <v>0</v>
      </c>
      <c r="R29" s="15"/>
    </row>
    <row r="30" spans="1:18">
      <c r="A30" s="5" t="s">
        <v>90</v>
      </c>
      <c r="B30" s="6" t="s">
        <v>95</v>
      </c>
      <c r="C30" s="6"/>
      <c r="D30" s="7" t="s">
        <v>28</v>
      </c>
      <c r="E30" s="8">
        <f>E31+E39+E42+E44</f>
        <v>360</v>
      </c>
      <c r="F30" s="8">
        <f t="shared" ref="F30:N30" si="24">F31+F39+F42+F44</f>
        <v>11480</v>
      </c>
      <c r="G30" s="8">
        <f t="shared" si="24"/>
        <v>6480</v>
      </c>
      <c r="H30" s="8">
        <f t="shared" si="24"/>
        <v>3800</v>
      </c>
      <c r="I30" s="8">
        <f t="shared" si="24"/>
        <v>10040</v>
      </c>
      <c r="J30" s="8">
        <f t="shared" si="24"/>
        <v>5040</v>
      </c>
      <c r="K30" s="8">
        <f t="shared" si="24"/>
        <v>6000</v>
      </c>
      <c r="L30" s="8">
        <f t="shared" si="24"/>
        <v>8010</v>
      </c>
      <c r="M30" s="8">
        <f t="shared" si="24"/>
        <v>6000</v>
      </c>
      <c r="N30" s="8">
        <f t="shared" si="24"/>
        <v>9320</v>
      </c>
      <c r="O30" s="8">
        <f>O31+O39+O42+O44</f>
        <v>6540</v>
      </c>
      <c r="P30" s="8">
        <f t="shared" ref="P30" si="25">P31+P39+P42+P44</f>
        <v>5000</v>
      </c>
      <c r="Q30" s="8">
        <f t="shared" si="23"/>
        <v>78070</v>
      </c>
      <c r="R30" s="9"/>
    </row>
    <row r="31" spans="1:18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 t="shared" ref="F31:P31" si="26">F32+F33+F34+F35+F36+F37+F38</f>
        <v>0</v>
      </c>
      <c r="G31" s="8">
        <f t="shared" si="26"/>
        <v>0</v>
      </c>
      <c r="H31" s="8">
        <f t="shared" si="26"/>
        <v>0</v>
      </c>
      <c r="I31" s="8">
        <f t="shared" si="26"/>
        <v>0</v>
      </c>
      <c r="J31" s="8">
        <f t="shared" si="26"/>
        <v>0</v>
      </c>
      <c r="K31" s="8">
        <f t="shared" si="26"/>
        <v>0</v>
      </c>
      <c r="L31" s="8">
        <f t="shared" si="26"/>
        <v>0</v>
      </c>
      <c r="M31" s="8">
        <f t="shared" si="26"/>
        <v>0</v>
      </c>
      <c r="N31" s="8">
        <f t="shared" si="26"/>
        <v>0</v>
      </c>
      <c r="O31" s="8">
        <f t="shared" si="26"/>
        <v>0</v>
      </c>
      <c r="P31" s="8">
        <f t="shared" si="26"/>
        <v>0</v>
      </c>
      <c r="Q31" s="8">
        <f t="shared" si="23"/>
        <v>0</v>
      </c>
      <c r="R31" s="9"/>
    </row>
    <row r="32" spans="1:18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8">
        <f t="shared" si="23"/>
        <v>0</v>
      </c>
      <c r="R32" s="15"/>
    </row>
    <row r="33" spans="1:18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8">
        <f t="shared" si="23"/>
        <v>0</v>
      </c>
      <c r="R33" s="15"/>
    </row>
    <row r="34" spans="1:18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8">
        <f t="shared" si="23"/>
        <v>0</v>
      </c>
      <c r="R34" s="15"/>
    </row>
    <row r="35" spans="1:18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8">
        <f t="shared" si="23"/>
        <v>0</v>
      </c>
      <c r="R35" s="15"/>
    </row>
    <row r="36" spans="1:18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8">
        <f t="shared" si="23"/>
        <v>0</v>
      </c>
      <c r="R36" s="15"/>
    </row>
    <row r="37" spans="1:18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8">
        <f t="shared" si="23"/>
        <v>0</v>
      </c>
      <c r="R37" s="15"/>
    </row>
    <row r="38" spans="1:18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8">
        <f t="shared" si="23"/>
        <v>0</v>
      </c>
      <c r="R38" s="15"/>
    </row>
    <row r="39" spans="1:18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 t="shared" ref="F39:P39" si="27">F40+F41</f>
        <v>0</v>
      </c>
      <c r="G39" s="8">
        <f t="shared" si="27"/>
        <v>0</v>
      </c>
      <c r="H39" s="8">
        <f t="shared" si="27"/>
        <v>0</v>
      </c>
      <c r="I39" s="8">
        <f t="shared" si="27"/>
        <v>0</v>
      </c>
      <c r="J39" s="8">
        <f t="shared" si="27"/>
        <v>0</v>
      </c>
      <c r="K39" s="8">
        <f t="shared" si="27"/>
        <v>0</v>
      </c>
      <c r="L39" s="8">
        <f t="shared" si="27"/>
        <v>0</v>
      </c>
      <c r="M39" s="8">
        <f t="shared" si="27"/>
        <v>0</v>
      </c>
      <c r="N39" s="8">
        <f t="shared" si="27"/>
        <v>0</v>
      </c>
      <c r="O39" s="8">
        <f t="shared" si="27"/>
        <v>0</v>
      </c>
      <c r="P39" s="8">
        <f t="shared" si="27"/>
        <v>0</v>
      </c>
      <c r="Q39" s="8">
        <f t="shared" si="23"/>
        <v>0</v>
      </c>
      <c r="R39" s="9"/>
    </row>
    <row r="40" spans="1:18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8">
        <f t="shared" si="23"/>
        <v>0</v>
      </c>
      <c r="R40" s="9"/>
    </row>
    <row r="41" spans="1:18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8">
        <f t="shared" si="23"/>
        <v>0</v>
      </c>
      <c r="R41" s="9"/>
    </row>
    <row r="42" spans="1:18">
      <c r="A42" s="5" t="s">
        <v>118</v>
      </c>
      <c r="B42" s="6" t="s">
        <v>125</v>
      </c>
      <c r="C42" s="6"/>
      <c r="D42" s="7" t="s">
        <v>28</v>
      </c>
      <c r="E42" s="8">
        <f>E43</f>
        <v>360</v>
      </c>
      <c r="F42" s="8">
        <f t="shared" ref="F42:P42" si="28">F43</f>
        <v>6480</v>
      </c>
      <c r="G42" s="8">
        <f t="shared" si="28"/>
        <v>1080</v>
      </c>
      <c r="H42" s="8">
        <f t="shared" si="28"/>
        <v>1800</v>
      </c>
      <c r="I42" s="8">
        <f t="shared" si="28"/>
        <v>5040</v>
      </c>
      <c r="J42" s="8">
        <f t="shared" si="28"/>
        <v>3240</v>
      </c>
      <c r="K42" s="8">
        <f t="shared" si="28"/>
        <v>3000</v>
      </c>
      <c r="L42" s="8">
        <f t="shared" si="28"/>
        <v>2160</v>
      </c>
      <c r="M42" s="8">
        <f t="shared" si="28"/>
        <v>3600</v>
      </c>
      <c r="N42" s="8">
        <f t="shared" si="28"/>
        <v>4320</v>
      </c>
      <c r="O42" s="8">
        <f t="shared" si="28"/>
        <v>3240</v>
      </c>
      <c r="P42" s="8">
        <f t="shared" si="28"/>
        <v>1800</v>
      </c>
      <c r="Q42" s="8">
        <f t="shared" si="23"/>
        <v>36120</v>
      </c>
      <c r="R42" s="9"/>
    </row>
    <row r="43" spans="1:18">
      <c r="A43" s="5" t="s">
        <v>120</v>
      </c>
      <c r="B43" s="6" t="s">
        <v>127</v>
      </c>
      <c r="C43" s="6" t="s">
        <v>35</v>
      </c>
      <c r="D43" s="7" t="s">
        <v>36</v>
      </c>
      <c r="E43" s="10">
        <v>360</v>
      </c>
      <c r="F43" s="10">
        <v>6480</v>
      </c>
      <c r="G43" s="10">
        <v>1080</v>
      </c>
      <c r="H43" s="10">
        <v>1800</v>
      </c>
      <c r="I43" s="10">
        <v>5040</v>
      </c>
      <c r="J43" s="10">
        <v>3240</v>
      </c>
      <c r="K43" s="10">
        <v>3000</v>
      </c>
      <c r="L43" s="10">
        <v>2160</v>
      </c>
      <c r="M43" s="10">
        <v>3600</v>
      </c>
      <c r="N43" s="10">
        <v>4320</v>
      </c>
      <c r="O43" s="10">
        <v>3240</v>
      </c>
      <c r="P43" s="10">
        <v>1800</v>
      </c>
      <c r="Q43" s="8">
        <f t="shared" si="23"/>
        <v>36120</v>
      </c>
      <c r="R43" s="9"/>
    </row>
    <row r="44" spans="1:18">
      <c r="A44" s="5" t="s">
        <v>122</v>
      </c>
      <c r="B44" s="6" t="s">
        <v>129</v>
      </c>
      <c r="C44" s="6"/>
      <c r="D44" s="7" t="s">
        <v>28</v>
      </c>
      <c r="E44" s="8">
        <f>SUM(E45:E48)</f>
        <v>0</v>
      </c>
      <c r="F44" s="8">
        <f t="shared" ref="F44:P44" si="29">SUM(F45:F48)</f>
        <v>5000</v>
      </c>
      <c r="G44" s="8">
        <f t="shared" si="29"/>
        <v>5400</v>
      </c>
      <c r="H44" s="8">
        <f t="shared" si="29"/>
        <v>2000</v>
      </c>
      <c r="I44" s="8">
        <f t="shared" si="29"/>
        <v>5000</v>
      </c>
      <c r="J44" s="8">
        <f t="shared" si="29"/>
        <v>1800</v>
      </c>
      <c r="K44" s="8">
        <f t="shared" si="29"/>
        <v>3000</v>
      </c>
      <c r="L44" s="8">
        <f t="shared" si="29"/>
        <v>5850</v>
      </c>
      <c r="M44" s="8">
        <f t="shared" si="29"/>
        <v>2400</v>
      </c>
      <c r="N44" s="8">
        <f t="shared" si="29"/>
        <v>5000</v>
      </c>
      <c r="O44" s="8">
        <f t="shared" si="29"/>
        <v>3300</v>
      </c>
      <c r="P44" s="8">
        <f t="shared" si="29"/>
        <v>3200</v>
      </c>
      <c r="Q44" s="8">
        <f t="shared" si="23"/>
        <v>41950</v>
      </c>
      <c r="R44" s="9"/>
    </row>
    <row r="45" spans="1:18">
      <c r="A45" s="5" t="s">
        <v>124</v>
      </c>
      <c r="B45" s="6" t="s">
        <v>131</v>
      </c>
      <c r="C45" s="6" t="s">
        <v>35</v>
      </c>
      <c r="D45" s="7" t="s">
        <v>132</v>
      </c>
      <c r="E45" s="10"/>
      <c r="F45" s="10">
        <v>5000</v>
      </c>
      <c r="G45" s="10">
        <v>5400</v>
      </c>
      <c r="H45" s="10">
        <v>2000</v>
      </c>
      <c r="I45" s="10">
        <v>5000</v>
      </c>
      <c r="J45" s="10">
        <v>1800</v>
      </c>
      <c r="K45" s="10">
        <v>3000</v>
      </c>
      <c r="L45" s="10">
        <v>5850</v>
      </c>
      <c r="M45" s="10">
        <v>2400</v>
      </c>
      <c r="N45" s="10">
        <v>5000</v>
      </c>
      <c r="O45" s="10">
        <v>3300</v>
      </c>
      <c r="P45" s="10">
        <v>3200</v>
      </c>
      <c r="Q45" s="8">
        <f t="shared" si="23"/>
        <v>41950</v>
      </c>
      <c r="R45" s="9"/>
    </row>
    <row r="46" spans="1:18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8">
        <f t="shared" si="23"/>
        <v>0</v>
      </c>
      <c r="R46" s="9"/>
    </row>
    <row r="47" spans="1:18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8">
        <f t="shared" si="23"/>
        <v>0</v>
      </c>
      <c r="R47" s="9"/>
    </row>
    <row r="48" spans="1:18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8">
        <f t="shared" si="23"/>
        <v>0</v>
      </c>
      <c r="R48" s="15"/>
    </row>
    <row r="49" spans="1:18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364746.71</v>
      </c>
      <c r="F49" s="8">
        <f t="shared" ref="F49:P49" si="30">F50+F68+F70+F72+F74+F76+F78+F80+F82+F90</f>
        <v>8041476.29</v>
      </c>
      <c r="G49" s="8">
        <f t="shared" si="30"/>
        <v>5884530.0899999999</v>
      </c>
      <c r="H49" s="8">
        <f t="shared" si="30"/>
        <v>4393772.8899999997</v>
      </c>
      <c r="I49" s="8">
        <f t="shared" si="30"/>
        <v>8593145.5700000003</v>
      </c>
      <c r="J49" s="8">
        <f t="shared" si="30"/>
        <v>1315963.8600000001</v>
      </c>
      <c r="K49" s="8">
        <f t="shared" si="30"/>
        <v>1180061.56</v>
      </c>
      <c r="L49" s="8">
        <f t="shared" si="30"/>
        <v>1278297</v>
      </c>
      <c r="M49" s="8">
        <f t="shared" si="30"/>
        <v>1629601.31</v>
      </c>
      <c r="N49" s="8">
        <f t="shared" si="30"/>
        <v>2394315.5699999998</v>
      </c>
      <c r="O49" s="8">
        <f t="shared" si="30"/>
        <v>1260353.3299999998</v>
      </c>
      <c r="P49" s="8">
        <f t="shared" si="30"/>
        <v>1640097.43</v>
      </c>
      <c r="Q49" s="8">
        <f t="shared" si="23"/>
        <v>37976361.609999992</v>
      </c>
      <c r="R49" s="9"/>
    </row>
    <row r="50" spans="1:18">
      <c r="A50" s="5" t="s">
        <v>136</v>
      </c>
      <c r="B50" s="6" t="s">
        <v>144</v>
      </c>
      <c r="C50" s="6"/>
      <c r="D50" s="7" t="s">
        <v>145</v>
      </c>
      <c r="E50" s="8">
        <v>179200</v>
      </c>
      <c r="F50" s="8">
        <v>5167160</v>
      </c>
      <c r="G50" s="8">
        <v>4577880</v>
      </c>
      <c r="H50" s="8">
        <v>3336600</v>
      </c>
      <c r="I50" s="8">
        <v>6846930</v>
      </c>
      <c r="J50" s="8">
        <v>875160</v>
      </c>
      <c r="K50" s="8">
        <v>858000</v>
      </c>
      <c r="L50" s="8">
        <v>903760</v>
      </c>
      <c r="M50" s="8">
        <v>1269840</v>
      </c>
      <c r="N50" s="8">
        <v>1738880</v>
      </c>
      <c r="O50" s="8">
        <v>915200</v>
      </c>
      <c r="P50" s="8">
        <v>1307020</v>
      </c>
      <c r="Q50" s="8">
        <f t="shared" si="23"/>
        <v>27975630</v>
      </c>
      <c r="R50" s="9"/>
    </row>
    <row r="51" spans="1:18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8">
        <f t="shared" si="23"/>
        <v>0</v>
      </c>
      <c r="R51" s="9"/>
    </row>
    <row r="52" spans="1:18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8">
        <f t="shared" si="23"/>
        <v>0</v>
      </c>
      <c r="R52" s="9"/>
    </row>
    <row r="53" spans="1:18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8">
        <f t="shared" si="23"/>
        <v>0</v>
      </c>
      <c r="R53" s="9"/>
    </row>
    <row r="54" spans="1:18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8">
        <f t="shared" si="23"/>
        <v>0</v>
      </c>
      <c r="R54" s="9"/>
    </row>
    <row r="55" spans="1:18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8">
        <f t="shared" si="23"/>
        <v>0</v>
      </c>
      <c r="R55" s="9"/>
    </row>
    <row r="56" spans="1:18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8">
        <f t="shared" si="23"/>
        <v>0</v>
      </c>
      <c r="R56" s="9"/>
    </row>
    <row r="57" spans="1:18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8">
        <f t="shared" si="23"/>
        <v>0</v>
      </c>
      <c r="R57" s="9"/>
    </row>
    <row r="58" spans="1:18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8">
        <f t="shared" si="23"/>
        <v>0</v>
      </c>
      <c r="R58" s="9"/>
    </row>
    <row r="59" spans="1:18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8">
        <f t="shared" si="23"/>
        <v>0</v>
      </c>
      <c r="R59" s="9"/>
    </row>
    <row r="60" spans="1:18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8960</v>
      </c>
      <c r="F60" s="10">
        <v>258358</v>
      </c>
      <c r="G60" s="10">
        <v>228894</v>
      </c>
      <c r="H60" s="10">
        <v>166830</v>
      </c>
      <c r="I60" s="10">
        <v>310086</v>
      </c>
      <c r="J60" s="10">
        <v>43758</v>
      </c>
      <c r="K60" s="10">
        <v>36465</v>
      </c>
      <c r="L60" s="10">
        <v>45188</v>
      </c>
      <c r="M60" s="10">
        <v>63492</v>
      </c>
      <c r="N60" s="10">
        <v>83941</v>
      </c>
      <c r="O60" s="10">
        <v>45760</v>
      </c>
      <c r="P60" s="10">
        <v>65351</v>
      </c>
      <c r="Q60" s="8">
        <f t="shared" si="23"/>
        <v>1357083</v>
      </c>
      <c r="R60" s="9"/>
    </row>
    <row r="61" spans="1:18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8">
        <f t="shared" si="23"/>
        <v>0</v>
      </c>
      <c r="R61" s="9"/>
    </row>
    <row r="62" spans="1:18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8">
        <f t="shared" si="23"/>
        <v>0</v>
      </c>
      <c r="R62" s="9"/>
    </row>
    <row r="63" spans="1:18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8">
        <f t="shared" si="23"/>
        <v>0</v>
      </c>
      <c r="R63" s="9"/>
    </row>
    <row r="64" spans="1:18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8">
        <f t="shared" si="23"/>
        <v>0</v>
      </c>
      <c r="R64" s="9"/>
    </row>
    <row r="65" spans="1:18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8">
        <f t="shared" si="23"/>
        <v>0</v>
      </c>
      <c r="R65" s="9"/>
    </row>
    <row r="66" spans="1:18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8">
        <f t="shared" si="23"/>
        <v>0</v>
      </c>
      <c r="R66" s="9"/>
    </row>
    <row r="67" spans="1:18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8">
        <f t="shared" si="23"/>
        <v>0</v>
      </c>
      <c r="R67" s="9"/>
    </row>
    <row r="68" spans="1:18">
      <c r="A68" s="5" t="s">
        <v>176</v>
      </c>
      <c r="B68" s="6" t="s">
        <v>183</v>
      </c>
      <c r="C68" s="6"/>
      <c r="D68" s="7"/>
      <c r="E68" s="8">
        <f>E69</f>
        <v>3200</v>
      </c>
      <c r="F68" s="8">
        <f t="shared" ref="F68:P68" si="31">F69</f>
        <v>67600</v>
      </c>
      <c r="G68" s="8">
        <f t="shared" si="31"/>
        <v>38000</v>
      </c>
      <c r="H68" s="8">
        <f t="shared" si="31"/>
        <v>29200</v>
      </c>
      <c r="I68" s="8">
        <f t="shared" si="31"/>
        <v>48800</v>
      </c>
      <c r="J68" s="8">
        <f t="shared" si="31"/>
        <v>11600</v>
      </c>
      <c r="K68" s="8">
        <f t="shared" si="31"/>
        <v>8800</v>
      </c>
      <c r="L68" s="8">
        <f t="shared" si="31"/>
        <v>10800</v>
      </c>
      <c r="M68" s="8">
        <f t="shared" si="31"/>
        <v>10000</v>
      </c>
      <c r="N68" s="8">
        <f t="shared" si="31"/>
        <v>20400</v>
      </c>
      <c r="O68" s="8">
        <f t="shared" si="31"/>
        <v>8400</v>
      </c>
      <c r="P68" s="8">
        <f t="shared" si="31"/>
        <v>8000</v>
      </c>
      <c r="Q68" s="8">
        <f t="shared" si="23"/>
        <v>264800</v>
      </c>
      <c r="R68" s="9"/>
    </row>
    <row r="69" spans="1:18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3200</v>
      </c>
      <c r="F69" s="8">
        <f t="shared" ref="F69:P69" si="32">F93*400</f>
        <v>67600</v>
      </c>
      <c r="G69" s="8">
        <f t="shared" si="32"/>
        <v>38000</v>
      </c>
      <c r="H69" s="8">
        <f t="shared" si="32"/>
        <v>29200</v>
      </c>
      <c r="I69" s="8">
        <f t="shared" si="32"/>
        <v>48800</v>
      </c>
      <c r="J69" s="8">
        <f t="shared" si="32"/>
        <v>11600</v>
      </c>
      <c r="K69" s="8">
        <f t="shared" si="32"/>
        <v>8800</v>
      </c>
      <c r="L69" s="8">
        <f t="shared" si="32"/>
        <v>10800</v>
      </c>
      <c r="M69" s="8">
        <f t="shared" si="32"/>
        <v>10000</v>
      </c>
      <c r="N69" s="8">
        <f t="shared" si="32"/>
        <v>20400</v>
      </c>
      <c r="O69" s="8">
        <f t="shared" si="32"/>
        <v>8400</v>
      </c>
      <c r="P69" s="8">
        <f t="shared" si="32"/>
        <v>8000</v>
      </c>
      <c r="Q69" s="8">
        <f t="shared" si="23"/>
        <v>264800</v>
      </c>
      <c r="R69" s="9"/>
    </row>
    <row r="70" spans="1:18">
      <c r="A70" s="5" t="s">
        <v>180</v>
      </c>
      <c r="B70" s="6" t="s">
        <v>188</v>
      </c>
      <c r="C70" s="6"/>
      <c r="D70" s="7" t="s">
        <v>28</v>
      </c>
      <c r="E70" s="8">
        <f>E71</f>
        <v>20325</v>
      </c>
      <c r="F70" s="8">
        <f t="shared" ref="F70:P70" si="33">F71</f>
        <v>297282</v>
      </c>
      <c r="G70" s="8">
        <f t="shared" si="33"/>
        <v>300871.8</v>
      </c>
      <c r="H70" s="8">
        <f t="shared" si="33"/>
        <v>278907.75</v>
      </c>
      <c r="I70" s="8">
        <f t="shared" si="33"/>
        <v>503355</v>
      </c>
      <c r="J70" s="8">
        <f t="shared" si="33"/>
        <v>71205</v>
      </c>
      <c r="K70" s="8">
        <f t="shared" si="33"/>
        <v>74342.700000000012</v>
      </c>
      <c r="L70" s="8">
        <f t="shared" si="33"/>
        <v>85185</v>
      </c>
      <c r="M70" s="8">
        <f t="shared" si="33"/>
        <v>92082.45</v>
      </c>
      <c r="N70" s="8">
        <f t="shared" si="33"/>
        <v>173535</v>
      </c>
      <c r="O70" s="8">
        <f t="shared" si="33"/>
        <v>110275.5</v>
      </c>
      <c r="P70" s="8">
        <f t="shared" si="33"/>
        <v>110250</v>
      </c>
      <c r="Q70" s="8">
        <f t="shared" si="23"/>
        <v>2117617.2000000002</v>
      </c>
      <c r="R70" s="9"/>
    </row>
    <row r="71" spans="1:18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20325</v>
      </c>
      <c r="F71" s="8">
        <f t="shared" ref="F71:P71" si="34">F105*15</f>
        <v>297282</v>
      </c>
      <c r="G71" s="8">
        <f t="shared" si="34"/>
        <v>300871.8</v>
      </c>
      <c r="H71" s="8">
        <f t="shared" si="34"/>
        <v>278907.75</v>
      </c>
      <c r="I71" s="8">
        <f t="shared" si="34"/>
        <v>503355</v>
      </c>
      <c r="J71" s="8">
        <f t="shared" si="34"/>
        <v>71205</v>
      </c>
      <c r="K71" s="8">
        <f t="shared" si="34"/>
        <v>74342.700000000012</v>
      </c>
      <c r="L71" s="8">
        <f t="shared" si="34"/>
        <v>85185</v>
      </c>
      <c r="M71" s="8">
        <f t="shared" si="34"/>
        <v>92082.45</v>
      </c>
      <c r="N71" s="8">
        <f t="shared" si="34"/>
        <v>173535</v>
      </c>
      <c r="O71" s="8">
        <f t="shared" si="34"/>
        <v>110275.5</v>
      </c>
      <c r="P71" s="8">
        <f t="shared" si="34"/>
        <v>110250</v>
      </c>
      <c r="Q71" s="8">
        <f t="shared" si="23"/>
        <v>2117617.2000000002</v>
      </c>
      <c r="R71" s="9"/>
    </row>
    <row r="72" spans="1:18">
      <c r="A72" s="5" t="s">
        <v>184</v>
      </c>
      <c r="B72" s="6" t="s">
        <v>193</v>
      </c>
      <c r="C72" s="6"/>
      <c r="D72" s="7" t="s">
        <v>28</v>
      </c>
      <c r="E72" s="8">
        <f>E73</f>
        <v>14400</v>
      </c>
      <c r="F72" s="8">
        <f t="shared" ref="F72:P72" si="35">F73</f>
        <v>97216</v>
      </c>
      <c r="G72" s="8">
        <f t="shared" si="35"/>
        <v>112080</v>
      </c>
      <c r="H72" s="8">
        <f t="shared" si="35"/>
        <v>78568</v>
      </c>
      <c r="I72" s="8">
        <f t="shared" si="35"/>
        <v>130352</v>
      </c>
      <c r="J72" s="8">
        <f t="shared" si="35"/>
        <v>20480</v>
      </c>
      <c r="K72" s="8">
        <f t="shared" si="35"/>
        <v>15744</v>
      </c>
      <c r="L72" s="8">
        <f t="shared" si="35"/>
        <v>20904</v>
      </c>
      <c r="M72" s="8">
        <f t="shared" si="35"/>
        <v>20616</v>
      </c>
      <c r="N72" s="8">
        <f t="shared" si="35"/>
        <v>37800</v>
      </c>
      <c r="O72" s="8">
        <f t="shared" si="35"/>
        <v>27218.400000000001</v>
      </c>
      <c r="P72" s="8">
        <f t="shared" si="35"/>
        <v>25792</v>
      </c>
      <c r="Q72" s="8">
        <f t="shared" si="23"/>
        <v>601170.4</v>
      </c>
      <c r="R72" s="9"/>
    </row>
    <row r="73" spans="1:18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14400</v>
      </c>
      <c r="F73" s="8">
        <f t="shared" ref="F73:P73" si="36">F106*8</f>
        <v>97216</v>
      </c>
      <c r="G73" s="8">
        <f t="shared" si="36"/>
        <v>112080</v>
      </c>
      <c r="H73" s="8">
        <f t="shared" si="36"/>
        <v>78568</v>
      </c>
      <c r="I73" s="8">
        <f t="shared" si="36"/>
        <v>130352</v>
      </c>
      <c r="J73" s="8">
        <f t="shared" si="36"/>
        <v>20480</v>
      </c>
      <c r="K73" s="8">
        <f t="shared" si="36"/>
        <v>15744</v>
      </c>
      <c r="L73" s="8">
        <f t="shared" si="36"/>
        <v>20904</v>
      </c>
      <c r="M73" s="8">
        <f t="shared" si="36"/>
        <v>20616</v>
      </c>
      <c r="N73" s="8">
        <f t="shared" si="36"/>
        <v>37800</v>
      </c>
      <c r="O73" s="8">
        <f t="shared" si="36"/>
        <v>27218.400000000001</v>
      </c>
      <c r="P73" s="8">
        <f t="shared" si="36"/>
        <v>25792</v>
      </c>
      <c r="Q73" s="8">
        <f t="shared" si="23"/>
        <v>601170.4</v>
      </c>
      <c r="R73" s="9"/>
    </row>
    <row r="74" spans="1:18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 t="shared" ref="F74:P74" si="37">F75</f>
        <v>0</v>
      </c>
      <c r="G74" s="8">
        <f t="shared" si="37"/>
        <v>0</v>
      </c>
      <c r="H74" s="8">
        <f t="shared" si="37"/>
        <v>0</v>
      </c>
      <c r="I74" s="8">
        <f t="shared" si="37"/>
        <v>0</v>
      </c>
      <c r="J74" s="8">
        <f t="shared" si="37"/>
        <v>0</v>
      </c>
      <c r="K74" s="8">
        <f t="shared" si="37"/>
        <v>0</v>
      </c>
      <c r="L74" s="8">
        <f t="shared" si="37"/>
        <v>0</v>
      </c>
      <c r="M74" s="8">
        <f t="shared" si="37"/>
        <v>0</v>
      </c>
      <c r="N74" s="8">
        <f t="shared" si="37"/>
        <v>0</v>
      </c>
      <c r="O74" s="8">
        <f t="shared" si="37"/>
        <v>0</v>
      </c>
      <c r="P74" s="8">
        <f t="shared" si="37"/>
        <v>0</v>
      </c>
      <c r="Q74" s="8">
        <f t="shared" si="23"/>
        <v>0</v>
      </c>
      <c r="R74" s="9"/>
    </row>
    <row r="75" spans="1:18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8">
        <f t="shared" si="23"/>
        <v>0</v>
      </c>
      <c r="R75" s="9"/>
    </row>
    <row r="76" spans="1:18">
      <c r="A76" s="5" t="s">
        <v>194</v>
      </c>
      <c r="B76" s="6" t="s">
        <v>202</v>
      </c>
      <c r="C76" s="6"/>
      <c r="D76" s="7" t="s">
        <v>28</v>
      </c>
      <c r="E76" s="8">
        <f>E77</f>
        <v>34560</v>
      </c>
      <c r="F76" s="8">
        <f t="shared" ref="F76:P76" si="38">F77</f>
        <v>730080</v>
      </c>
      <c r="G76" s="8">
        <f t="shared" si="38"/>
        <v>410400</v>
      </c>
      <c r="H76" s="8">
        <f t="shared" si="38"/>
        <v>315360</v>
      </c>
      <c r="I76" s="8">
        <f t="shared" si="38"/>
        <v>527040</v>
      </c>
      <c r="J76" s="8">
        <f t="shared" si="38"/>
        <v>125280</v>
      </c>
      <c r="K76" s="8">
        <f t="shared" si="38"/>
        <v>95040</v>
      </c>
      <c r="L76" s="8">
        <f t="shared" si="38"/>
        <v>116640</v>
      </c>
      <c r="M76" s="8">
        <f t="shared" si="38"/>
        <v>108000</v>
      </c>
      <c r="N76" s="8">
        <f t="shared" si="38"/>
        <v>220320</v>
      </c>
      <c r="O76" s="8">
        <f t="shared" si="38"/>
        <v>90720</v>
      </c>
      <c r="P76" s="8">
        <f t="shared" si="38"/>
        <v>86400</v>
      </c>
      <c r="Q76" s="8">
        <f t="shared" si="23"/>
        <v>2859840</v>
      </c>
      <c r="R76" s="9"/>
    </row>
    <row r="77" spans="1:18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34560</v>
      </c>
      <c r="F77" s="8">
        <f t="shared" ref="F77:P77" si="39">F93*4320</f>
        <v>730080</v>
      </c>
      <c r="G77" s="8">
        <f t="shared" si="39"/>
        <v>410400</v>
      </c>
      <c r="H77" s="8">
        <f t="shared" si="39"/>
        <v>315360</v>
      </c>
      <c r="I77" s="8">
        <f t="shared" si="39"/>
        <v>527040</v>
      </c>
      <c r="J77" s="8">
        <f t="shared" si="39"/>
        <v>125280</v>
      </c>
      <c r="K77" s="8">
        <f t="shared" si="39"/>
        <v>95040</v>
      </c>
      <c r="L77" s="8">
        <f t="shared" si="39"/>
        <v>116640</v>
      </c>
      <c r="M77" s="8">
        <f t="shared" si="39"/>
        <v>108000</v>
      </c>
      <c r="N77" s="8">
        <f t="shared" si="39"/>
        <v>220320</v>
      </c>
      <c r="O77" s="8">
        <f t="shared" si="39"/>
        <v>90720</v>
      </c>
      <c r="P77" s="8">
        <f t="shared" si="39"/>
        <v>86400</v>
      </c>
      <c r="Q77" s="8">
        <f t="shared" si="23"/>
        <v>2859840</v>
      </c>
      <c r="R77" s="9"/>
    </row>
    <row r="78" spans="1:18">
      <c r="A78" s="5" t="s">
        <v>199</v>
      </c>
      <c r="B78" s="6" t="s">
        <v>207</v>
      </c>
      <c r="C78" s="6"/>
      <c r="D78" s="7" t="s">
        <v>28</v>
      </c>
      <c r="E78" s="8">
        <f>E79</f>
        <v>38581.71</v>
      </c>
      <c r="F78" s="8">
        <f t="shared" ref="F78:P78" si="40">F79</f>
        <v>796858.29</v>
      </c>
      <c r="G78" s="8">
        <f t="shared" si="40"/>
        <v>403858.29</v>
      </c>
      <c r="H78" s="8">
        <f t="shared" si="40"/>
        <v>313697.14</v>
      </c>
      <c r="I78" s="8">
        <f t="shared" si="40"/>
        <v>504668.57</v>
      </c>
      <c r="J78" s="8">
        <f t="shared" si="40"/>
        <v>118878.86</v>
      </c>
      <c r="K78" s="8">
        <f t="shared" si="40"/>
        <v>86694.86</v>
      </c>
      <c r="L78" s="8">
        <f t="shared" si="40"/>
        <v>109008</v>
      </c>
      <c r="M78" s="8">
        <f t="shared" si="40"/>
        <v>97062.86</v>
      </c>
      <c r="N78" s="8">
        <f t="shared" si="40"/>
        <v>171380.57</v>
      </c>
      <c r="O78" s="8">
        <f t="shared" si="40"/>
        <v>76539.429999999993</v>
      </c>
      <c r="P78" s="8">
        <f t="shared" si="40"/>
        <v>70635.429999999993</v>
      </c>
      <c r="Q78" s="8">
        <f t="shared" si="23"/>
        <v>2787864.0100000002</v>
      </c>
      <c r="R78" s="9"/>
    </row>
    <row r="79" spans="1:18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38581.71</v>
      </c>
      <c r="F79" s="8">
        <f t="shared" ref="F79:P79" si="41">ROUND(F28/0.07*0.02,2)</f>
        <v>796858.29</v>
      </c>
      <c r="G79" s="8">
        <f t="shared" si="41"/>
        <v>403858.29</v>
      </c>
      <c r="H79" s="8">
        <f t="shared" si="41"/>
        <v>313697.14</v>
      </c>
      <c r="I79" s="8">
        <f t="shared" si="41"/>
        <v>504668.57</v>
      </c>
      <c r="J79" s="8">
        <f t="shared" si="41"/>
        <v>118878.86</v>
      </c>
      <c r="K79" s="8">
        <f t="shared" si="41"/>
        <v>86694.86</v>
      </c>
      <c r="L79" s="8">
        <f t="shared" si="41"/>
        <v>109008</v>
      </c>
      <c r="M79" s="8">
        <f t="shared" si="41"/>
        <v>97062.86</v>
      </c>
      <c r="N79" s="8">
        <f t="shared" si="41"/>
        <v>171380.57</v>
      </c>
      <c r="O79" s="8">
        <f t="shared" si="41"/>
        <v>76539.429999999993</v>
      </c>
      <c r="P79" s="8">
        <f t="shared" si="41"/>
        <v>70635.429999999993</v>
      </c>
      <c r="Q79" s="8">
        <f t="shared" si="23"/>
        <v>2787864.0100000002</v>
      </c>
      <c r="R79" s="9"/>
    </row>
    <row r="80" spans="1:18">
      <c r="A80" s="5" t="s">
        <v>203</v>
      </c>
      <c r="B80" s="6" t="s">
        <v>211</v>
      </c>
      <c r="C80" s="6"/>
      <c r="D80" s="7" t="s">
        <v>28</v>
      </c>
      <c r="E80" s="8">
        <f>E81</f>
        <v>0</v>
      </c>
      <c r="F80" s="8">
        <f t="shared" ref="F80:P80" si="42">F81</f>
        <v>64000</v>
      </c>
      <c r="G80" s="8">
        <f t="shared" si="42"/>
        <v>0</v>
      </c>
      <c r="H80" s="8">
        <f t="shared" si="42"/>
        <v>0</v>
      </c>
      <c r="I80" s="8">
        <f t="shared" si="42"/>
        <v>0</v>
      </c>
      <c r="J80" s="8">
        <f t="shared" si="42"/>
        <v>0</v>
      </c>
      <c r="K80" s="8">
        <f t="shared" si="42"/>
        <v>0</v>
      </c>
      <c r="L80" s="8">
        <f t="shared" si="42"/>
        <v>0</v>
      </c>
      <c r="M80" s="8">
        <f t="shared" si="42"/>
        <v>0</v>
      </c>
      <c r="N80" s="8">
        <f t="shared" si="42"/>
        <v>0</v>
      </c>
      <c r="O80" s="8">
        <f t="shared" si="42"/>
        <v>0</v>
      </c>
      <c r="P80" s="8">
        <f t="shared" si="42"/>
        <v>0</v>
      </c>
      <c r="Q80" s="8">
        <f t="shared" si="23"/>
        <v>64000</v>
      </c>
      <c r="R80" s="9"/>
    </row>
    <row r="81" spans="1:18" ht="33.75">
      <c r="A81" s="5" t="s">
        <v>206</v>
      </c>
      <c r="B81" s="6" t="s">
        <v>213</v>
      </c>
      <c r="C81" s="6" t="s">
        <v>35</v>
      </c>
      <c r="D81" s="20" t="s">
        <v>214</v>
      </c>
      <c r="E81" s="10"/>
      <c r="F81" s="10">
        <v>64000</v>
      </c>
      <c r="G81" s="10"/>
      <c r="H81" s="10"/>
      <c r="I81" s="10"/>
      <c r="J81" s="10"/>
      <c r="K81" s="10"/>
      <c r="L81" s="10"/>
      <c r="M81" s="10"/>
      <c r="N81" s="10"/>
      <c r="O81" s="10"/>
      <c r="P81" s="10"/>
      <c r="Q81" s="8">
        <f t="shared" si="23"/>
        <v>64000</v>
      </c>
      <c r="R81" s="9"/>
    </row>
    <row r="82" spans="1:18">
      <c r="A82" s="5" t="s">
        <v>208</v>
      </c>
      <c r="B82" s="6" t="s">
        <v>216</v>
      </c>
      <c r="C82" s="6"/>
      <c r="D82" s="7" t="s">
        <v>28</v>
      </c>
      <c r="E82" s="8">
        <f>E83+E86+E89</f>
        <v>42480</v>
      </c>
      <c r="F82" s="8">
        <f t="shared" ref="F82:P82" si="43">F83+F86+F89</f>
        <v>821280</v>
      </c>
      <c r="G82" s="8">
        <f t="shared" si="43"/>
        <v>9440</v>
      </c>
      <c r="H82" s="8">
        <f t="shared" si="43"/>
        <v>9440</v>
      </c>
      <c r="I82" s="8">
        <f t="shared" si="43"/>
        <v>0</v>
      </c>
      <c r="J82" s="8">
        <f t="shared" si="43"/>
        <v>61360</v>
      </c>
      <c r="K82" s="8">
        <f t="shared" si="43"/>
        <v>9440</v>
      </c>
      <c r="L82" s="8">
        <f t="shared" si="43"/>
        <v>0</v>
      </c>
      <c r="M82" s="8">
        <f t="shared" si="43"/>
        <v>0</v>
      </c>
      <c r="N82" s="8">
        <f t="shared" si="43"/>
        <v>0</v>
      </c>
      <c r="O82" s="8">
        <f t="shared" si="43"/>
        <v>0</v>
      </c>
      <c r="P82" s="8">
        <f t="shared" si="43"/>
        <v>0</v>
      </c>
      <c r="Q82" s="8">
        <f t="shared" si="23"/>
        <v>953440</v>
      </c>
      <c r="R82" s="9"/>
    </row>
    <row r="83" spans="1:18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 t="shared" ref="F83:P83" si="44">F84+F85</f>
        <v>0</v>
      </c>
      <c r="G83" s="8">
        <f t="shared" si="44"/>
        <v>0</v>
      </c>
      <c r="H83" s="8">
        <f t="shared" si="44"/>
        <v>0</v>
      </c>
      <c r="I83" s="8">
        <f t="shared" si="44"/>
        <v>0</v>
      </c>
      <c r="J83" s="8">
        <f t="shared" si="44"/>
        <v>0</v>
      </c>
      <c r="K83" s="8">
        <f t="shared" si="44"/>
        <v>0</v>
      </c>
      <c r="L83" s="8">
        <f t="shared" si="44"/>
        <v>0</v>
      </c>
      <c r="M83" s="8">
        <f t="shared" si="44"/>
        <v>0</v>
      </c>
      <c r="N83" s="8">
        <f t="shared" si="44"/>
        <v>0</v>
      </c>
      <c r="O83" s="8">
        <f t="shared" si="44"/>
        <v>0</v>
      </c>
      <c r="P83" s="8">
        <f t="shared" si="44"/>
        <v>0</v>
      </c>
      <c r="Q83" s="8">
        <f t="shared" si="23"/>
        <v>0</v>
      </c>
      <c r="R83" s="9"/>
    </row>
    <row r="84" spans="1:18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8">
        <f t="shared" si="23"/>
        <v>0</v>
      </c>
      <c r="R84" s="15"/>
    </row>
    <row r="85" spans="1:18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8">
        <f t="shared" si="23"/>
        <v>0</v>
      </c>
      <c r="R85" s="15"/>
    </row>
    <row r="86" spans="1:18">
      <c r="A86" s="5" t="s">
        <v>217</v>
      </c>
      <c r="B86" s="6" t="s">
        <v>225</v>
      </c>
      <c r="C86" s="6"/>
      <c r="D86" s="7" t="s">
        <v>28</v>
      </c>
      <c r="E86" s="8">
        <f>E87+E88</f>
        <v>42480</v>
      </c>
      <c r="F86" s="8">
        <f t="shared" ref="F86:P86" si="45">F87+F88</f>
        <v>821280</v>
      </c>
      <c r="G86" s="8">
        <f t="shared" si="45"/>
        <v>9440</v>
      </c>
      <c r="H86" s="8">
        <f t="shared" si="45"/>
        <v>9440</v>
      </c>
      <c r="I86" s="8">
        <f t="shared" si="45"/>
        <v>0</v>
      </c>
      <c r="J86" s="8">
        <f t="shared" si="45"/>
        <v>61360</v>
      </c>
      <c r="K86" s="8">
        <f t="shared" si="45"/>
        <v>9440</v>
      </c>
      <c r="L86" s="8">
        <f t="shared" si="45"/>
        <v>0</v>
      </c>
      <c r="M86" s="8">
        <f t="shared" si="45"/>
        <v>0</v>
      </c>
      <c r="N86" s="8">
        <f t="shared" si="45"/>
        <v>0</v>
      </c>
      <c r="O86" s="8">
        <f t="shared" si="45"/>
        <v>0</v>
      </c>
      <c r="P86" s="8">
        <f t="shared" si="45"/>
        <v>0</v>
      </c>
      <c r="Q86" s="8">
        <f t="shared" si="23"/>
        <v>953440</v>
      </c>
      <c r="R86" s="9"/>
    </row>
    <row r="87" spans="1:18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3600</v>
      </c>
      <c r="F87" s="8">
        <f t="shared" ref="F87:P87" si="46">F104*400</f>
        <v>69600</v>
      </c>
      <c r="G87" s="8">
        <f t="shared" si="46"/>
        <v>800</v>
      </c>
      <c r="H87" s="8">
        <f t="shared" si="46"/>
        <v>800</v>
      </c>
      <c r="I87" s="8">
        <f t="shared" si="46"/>
        <v>0</v>
      </c>
      <c r="J87" s="8">
        <f t="shared" si="46"/>
        <v>5200</v>
      </c>
      <c r="K87" s="8">
        <f t="shared" si="46"/>
        <v>800</v>
      </c>
      <c r="L87" s="8">
        <f t="shared" si="46"/>
        <v>0</v>
      </c>
      <c r="M87" s="8">
        <f t="shared" si="46"/>
        <v>0</v>
      </c>
      <c r="N87" s="8">
        <f t="shared" si="46"/>
        <v>0</v>
      </c>
      <c r="O87" s="8">
        <f t="shared" si="46"/>
        <v>0</v>
      </c>
      <c r="P87" s="8">
        <f t="shared" si="46"/>
        <v>0</v>
      </c>
      <c r="Q87" s="8">
        <f t="shared" si="23"/>
        <v>80800</v>
      </c>
      <c r="R87" s="9"/>
    </row>
    <row r="88" spans="1:18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38880</v>
      </c>
      <c r="F88" s="8">
        <f t="shared" ref="F88:P88" si="47">F104*4320</f>
        <v>751680</v>
      </c>
      <c r="G88" s="8">
        <f t="shared" si="47"/>
        <v>8640</v>
      </c>
      <c r="H88" s="8">
        <f t="shared" si="47"/>
        <v>8640</v>
      </c>
      <c r="I88" s="8">
        <f t="shared" si="47"/>
        <v>0</v>
      </c>
      <c r="J88" s="8">
        <f t="shared" si="47"/>
        <v>56160</v>
      </c>
      <c r="K88" s="8">
        <f t="shared" si="47"/>
        <v>8640</v>
      </c>
      <c r="L88" s="8">
        <f t="shared" si="47"/>
        <v>0</v>
      </c>
      <c r="M88" s="8">
        <f t="shared" si="47"/>
        <v>0</v>
      </c>
      <c r="N88" s="8">
        <f t="shared" si="47"/>
        <v>0</v>
      </c>
      <c r="O88" s="8">
        <f t="shared" si="47"/>
        <v>0</v>
      </c>
      <c r="P88" s="8">
        <f t="shared" si="47"/>
        <v>0</v>
      </c>
      <c r="Q88" s="8">
        <f t="shared" si="23"/>
        <v>872640</v>
      </c>
      <c r="R88" s="9"/>
    </row>
    <row r="89" spans="1:18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8">
        <f t="shared" si="23"/>
        <v>0</v>
      </c>
      <c r="R89" s="15"/>
    </row>
    <row r="90" spans="1:18">
      <c r="A90" s="5" t="s">
        <v>226</v>
      </c>
      <c r="B90" s="6" t="s">
        <v>235</v>
      </c>
      <c r="C90" s="6"/>
      <c r="D90" s="7" t="s">
        <v>28</v>
      </c>
      <c r="E90" s="8">
        <f>E91</f>
        <v>32000</v>
      </c>
      <c r="F90" s="8">
        <f t="shared" ref="F90:P90" si="48">F91</f>
        <v>0</v>
      </c>
      <c r="G90" s="8">
        <f t="shared" si="48"/>
        <v>32000</v>
      </c>
      <c r="H90" s="8">
        <f t="shared" si="48"/>
        <v>32000</v>
      </c>
      <c r="I90" s="8">
        <f t="shared" si="48"/>
        <v>32000</v>
      </c>
      <c r="J90" s="8">
        <f t="shared" si="48"/>
        <v>32000</v>
      </c>
      <c r="K90" s="8">
        <f t="shared" si="48"/>
        <v>32000</v>
      </c>
      <c r="L90" s="8">
        <f t="shared" si="48"/>
        <v>32000</v>
      </c>
      <c r="M90" s="8">
        <f t="shared" si="48"/>
        <v>32000</v>
      </c>
      <c r="N90" s="8">
        <f t="shared" si="48"/>
        <v>32000</v>
      </c>
      <c r="O90" s="8">
        <f t="shared" si="48"/>
        <v>32000</v>
      </c>
      <c r="P90" s="8">
        <f t="shared" si="48"/>
        <v>32000</v>
      </c>
      <c r="Q90" s="8">
        <f t="shared" ref="Q90:Q106" si="49">SUM(E90:P90)</f>
        <v>352000</v>
      </c>
      <c r="R90" s="9"/>
    </row>
    <row r="91" spans="1:18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>
        <v>32000</v>
      </c>
      <c r="F91" s="26"/>
      <c r="G91" s="26">
        <v>32000</v>
      </c>
      <c r="H91" s="26">
        <v>32000</v>
      </c>
      <c r="I91" s="26">
        <v>32000</v>
      </c>
      <c r="J91" s="26">
        <v>32000</v>
      </c>
      <c r="K91" s="26">
        <v>32000</v>
      </c>
      <c r="L91" s="26">
        <v>32000</v>
      </c>
      <c r="M91" s="26">
        <v>32000</v>
      </c>
      <c r="N91" s="26">
        <v>32000</v>
      </c>
      <c r="O91" s="26">
        <v>32000</v>
      </c>
      <c r="P91" s="26">
        <v>32000</v>
      </c>
      <c r="Q91" s="8">
        <f t="shared" si="49"/>
        <v>352000</v>
      </c>
      <c r="R91" s="27"/>
    </row>
    <row r="92" spans="1:18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8">
        <f t="shared" si="49"/>
        <v>0</v>
      </c>
      <c r="R92" s="31"/>
    </row>
    <row r="93" spans="1:18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8</v>
      </c>
      <c r="F93" s="8">
        <f t="shared" ref="F93:P93" si="50">F94+F95+F96+F97</f>
        <v>169</v>
      </c>
      <c r="G93" s="8">
        <f t="shared" si="50"/>
        <v>95</v>
      </c>
      <c r="H93" s="8">
        <f t="shared" si="50"/>
        <v>73</v>
      </c>
      <c r="I93" s="8">
        <f t="shared" si="50"/>
        <v>122</v>
      </c>
      <c r="J93" s="8">
        <f t="shared" si="50"/>
        <v>29</v>
      </c>
      <c r="K93" s="8">
        <f t="shared" si="50"/>
        <v>22</v>
      </c>
      <c r="L93" s="8">
        <f t="shared" si="50"/>
        <v>27</v>
      </c>
      <c r="M93" s="8">
        <f t="shared" si="50"/>
        <v>25</v>
      </c>
      <c r="N93" s="8">
        <f t="shared" si="50"/>
        <v>51</v>
      </c>
      <c r="O93" s="8">
        <f t="shared" si="50"/>
        <v>21</v>
      </c>
      <c r="P93" s="8">
        <f t="shared" si="50"/>
        <v>20</v>
      </c>
      <c r="Q93" s="19">
        <f t="shared" si="49"/>
        <v>662</v>
      </c>
      <c r="R93" s="9"/>
    </row>
    <row r="94" spans="1:18">
      <c r="A94" s="5" t="s">
        <v>236</v>
      </c>
      <c r="B94" s="32" t="s">
        <v>245</v>
      </c>
      <c r="C94" s="32"/>
      <c r="D94" s="15"/>
      <c r="E94" s="16"/>
      <c r="F94" s="16">
        <v>88</v>
      </c>
      <c r="G94" s="16">
        <v>24</v>
      </c>
      <c r="H94" s="16">
        <v>73</v>
      </c>
      <c r="I94" s="16"/>
      <c r="J94" s="16"/>
      <c r="K94" s="16"/>
      <c r="L94" s="16"/>
      <c r="M94" s="16"/>
      <c r="N94" s="16"/>
      <c r="O94" s="16"/>
      <c r="P94" s="16"/>
      <c r="Q94" s="8">
        <f t="shared" si="49"/>
        <v>185</v>
      </c>
      <c r="R94" s="9"/>
    </row>
    <row r="95" spans="1:18">
      <c r="A95" s="5" t="s">
        <v>239</v>
      </c>
      <c r="B95" s="32" t="s">
        <v>247</v>
      </c>
      <c r="C95" s="32"/>
      <c r="D95" s="7"/>
      <c r="E95" s="10"/>
      <c r="F95" s="10">
        <v>81</v>
      </c>
      <c r="G95" s="10">
        <v>71</v>
      </c>
      <c r="H95" s="10"/>
      <c r="I95" s="10">
        <v>122</v>
      </c>
      <c r="J95" s="10"/>
      <c r="K95" s="10"/>
      <c r="L95" s="10"/>
      <c r="M95" s="10"/>
      <c r="N95" s="10"/>
      <c r="O95" s="10"/>
      <c r="P95" s="10"/>
      <c r="Q95" s="8">
        <f t="shared" si="49"/>
        <v>274</v>
      </c>
      <c r="R95" s="9"/>
    </row>
    <row r="96" spans="1:18">
      <c r="A96" s="5" t="s">
        <v>241</v>
      </c>
      <c r="B96" s="32" t="s">
        <v>249</v>
      </c>
      <c r="C96" s="32"/>
      <c r="D96" s="15"/>
      <c r="E96" s="16"/>
      <c r="F96" s="16"/>
      <c r="G96" s="16"/>
      <c r="H96" s="16"/>
      <c r="I96" s="16"/>
      <c r="J96" s="16">
        <v>29</v>
      </c>
      <c r="K96" s="16">
        <v>22</v>
      </c>
      <c r="L96" s="16">
        <v>27</v>
      </c>
      <c r="M96" s="16">
        <v>25</v>
      </c>
      <c r="N96" s="16">
        <v>51</v>
      </c>
      <c r="O96" s="16">
        <v>21</v>
      </c>
      <c r="P96" s="16">
        <v>20</v>
      </c>
      <c r="Q96" s="8">
        <f t="shared" si="49"/>
        <v>195</v>
      </c>
      <c r="R96" s="9"/>
    </row>
    <row r="97" spans="1:18">
      <c r="A97" s="5" t="s">
        <v>244</v>
      </c>
      <c r="B97" s="32" t="s">
        <v>251</v>
      </c>
      <c r="C97" s="32"/>
      <c r="D97" s="15"/>
      <c r="E97" s="16">
        <v>8</v>
      </c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8">
        <f t="shared" si="49"/>
        <v>8</v>
      </c>
      <c r="R97" s="9"/>
    </row>
    <row r="98" spans="1:18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0</v>
      </c>
      <c r="F98" s="8">
        <f t="shared" ref="F98:P98" si="51">F99+F100+F101+F102</f>
        <v>1578</v>
      </c>
      <c r="G98" s="8">
        <f t="shared" si="51"/>
        <v>1412</v>
      </c>
      <c r="H98" s="8">
        <f t="shared" si="51"/>
        <v>996</v>
      </c>
      <c r="I98" s="8">
        <f t="shared" si="51"/>
        <v>1932</v>
      </c>
      <c r="J98" s="8">
        <f t="shared" si="51"/>
        <v>306</v>
      </c>
      <c r="K98" s="8">
        <f t="shared" si="51"/>
        <v>255</v>
      </c>
      <c r="L98" s="8">
        <f t="shared" si="51"/>
        <v>316</v>
      </c>
      <c r="M98" s="8">
        <f t="shared" si="51"/>
        <v>444</v>
      </c>
      <c r="N98" s="8">
        <f t="shared" si="51"/>
        <v>587</v>
      </c>
      <c r="O98" s="8">
        <f t="shared" si="51"/>
        <v>320</v>
      </c>
      <c r="P98" s="8">
        <f t="shared" si="51"/>
        <v>457</v>
      </c>
      <c r="Q98" s="8">
        <f t="shared" si="49"/>
        <v>8603</v>
      </c>
      <c r="R98" s="9"/>
    </row>
    <row r="99" spans="1:18">
      <c r="A99" s="5" t="s">
        <v>248</v>
      </c>
      <c r="B99" s="32" t="s">
        <v>245</v>
      </c>
      <c r="C99" s="32"/>
      <c r="D99" s="15"/>
      <c r="E99" s="16"/>
      <c r="F99" s="16">
        <v>727</v>
      </c>
      <c r="G99" s="16">
        <v>324</v>
      </c>
      <c r="H99" s="16">
        <v>996</v>
      </c>
      <c r="I99" s="16"/>
      <c r="J99" s="16"/>
      <c r="K99" s="16"/>
      <c r="L99" s="16"/>
      <c r="M99" s="16"/>
      <c r="N99" s="16"/>
      <c r="O99" s="16"/>
      <c r="P99" s="16"/>
      <c r="Q99" s="8">
        <f t="shared" si="49"/>
        <v>2047</v>
      </c>
      <c r="R99" s="9"/>
    </row>
    <row r="100" spans="1:18">
      <c r="A100" s="5" t="s">
        <v>250</v>
      </c>
      <c r="B100" s="32" t="s">
        <v>247</v>
      </c>
      <c r="C100" s="32"/>
      <c r="D100" s="7"/>
      <c r="E100" s="10"/>
      <c r="F100" s="10">
        <v>851</v>
      </c>
      <c r="G100" s="10">
        <v>1088</v>
      </c>
      <c r="H100" s="10"/>
      <c r="I100" s="10">
        <v>1932</v>
      </c>
      <c r="J100" s="10"/>
      <c r="K100" s="10"/>
      <c r="L100" s="10"/>
      <c r="M100" s="10"/>
      <c r="N100" s="10"/>
      <c r="O100" s="10"/>
      <c r="P100" s="10"/>
      <c r="Q100" s="8">
        <f t="shared" si="49"/>
        <v>3871</v>
      </c>
      <c r="R100" s="9"/>
    </row>
    <row r="101" spans="1:18">
      <c r="A101" s="5" t="s">
        <v>252</v>
      </c>
      <c r="B101" s="32" t="s">
        <v>249</v>
      </c>
      <c r="C101" s="32"/>
      <c r="D101" s="15"/>
      <c r="E101" s="16"/>
      <c r="F101" s="16"/>
      <c r="G101" s="16"/>
      <c r="H101" s="16"/>
      <c r="I101" s="16"/>
      <c r="J101" s="16">
        <v>306</v>
      </c>
      <c r="K101" s="16">
        <v>255</v>
      </c>
      <c r="L101" s="16">
        <v>316</v>
      </c>
      <c r="M101" s="16">
        <v>444</v>
      </c>
      <c r="N101" s="16">
        <v>587</v>
      </c>
      <c r="O101" s="16">
        <v>320</v>
      </c>
      <c r="P101" s="16">
        <v>457</v>
      </c>
      <c r="Q101" s="8">
        <f t="shared" si="49"/>
        <v>2685</v>
      </c>
      <c r="R101" s="9"/>
    </row>
    <row r="102" spans="1:18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8">
        <f t="shared" si="49"/>
        <v>0</v>
      </c>
      <c r="R102" s="9"/>
    </row>
    <row r="103" spans="1:18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8">
        <f t="shared" si="49"/>
        <v>0</v>
      </c>
      <c r="R103" s="9"/>
    </row>
    <row r="104" spans="1:18">
      <c r="A104" s="5" t="s">
        <v>257</v>
      </c>
      <c r="B104" s="6" t="s">
        <v>261</v>
      </c>
      <c r="C104" s="6"/>
      <c r="D104" s="7"/>
      <c r="E104" s="10">
        <v>9</v>
      </c>
      <c r="F104" s="10">
        <v>174</v>
      </c>
      <c r="G104" s="10">
        <v>2</v>
      </c>
      <c r="H104" s="10">
        <v>2</v>
      </c>
      <c r="I104" s="10"/>
      <c r="J104" s="10">
        <v>13</v>
      </c>
      <c r="K104" s="10">
        <v>2</v>
      </c>
      <c r="L104" s="10"/>
      <c r="M104" s="10"/>
      <c r="N104" s="10"/>
      <c r="O104" s="10"/>
      <c r="P104" s="10"/>
      <c r="Q104" s="19">
        <f t="shared" si="49"/>
        <v>202</v>
      </c>
      <c r="R104" s="9"/>
    </row>
    <row r="105" spans="1:18">
      <c r="A105" s="5" t="s">
        <v>258</v>
      </c>
      <c r="B105" s="32" t="s">
        <v>262</v>
      </c>
      <c r="C105" s="32"/>
      <c r="D105" s="20"/>
      <c r="E105" s="10">
        <v>1355</v>
      </c>
      <c r="F105" s="10">
        <v>19818.8</v>
      </c>
      <c r="G105" s="10">
        <v>20058.12</v>
      </c>
      <c r="H105" s="10">
        <v>18593.849999999999</v>
      </c>
      <c r="I105" s="10">
        <v>33557</v>
      </c>
      <c r="J105" s="10">
        <v>4747</v>
      </c>
      <c r="K105" s="10">
        <v>4956.18</v>
      </c>
      <c r="L105" s="10">
        <v>5679</v>
      </c>
      <c r="M105" s="10">
        <v>6138.83</v>
      </c>
      <c r="N105" s="10">
        <v>11569</v>
      </c>
      <c r="O105" s="10">
        <v>7351.7</v>
      </c>
      <c r="P105" s="10">
        <v>7350</v>
      </c>
      <c r="Q105" s="8">
        <f t="shared" si="49"/>
        <v>141174.47999999998</v>
      </c>
      <c r="R105" s="9"/>
    </row>
    <row r="106" spans="1:18">
      <c r="A106" s="5" t="s">
        <v>259</v>
      </c>
      <c r="B106" s="32" t="s">
        <v>263</v>
      </c>
      <c r="C106" s="32"/>
      <c r="D106" s="20"/>
      <c r="E106" s="10">
        <v>1800</v>
      </c>
      <c r="F106" s="10">
        <v>12152</v>
      </c>
      <c r="G106" s="10">
        <v>14010</v>
      </c>
      <c r="H106" s="10">
        <v>9821</v>
      </c>
      <c r="I106" s="10">
        <v>16294</v>
      </c>
      <c r="J106" s="10">
        <v>2560</v>
      </c>
      <c r="K106" s="10">
        <v>1968</v>
      </c>
      <c r="L106" s="10">
        <v>2613</v>
      </c>
      <c r="M106" s="10">
        <v>2577</v>
      </c>
      <c r="N106" s="10">
        <v>4725</v>
      </c>
      <c r="O106" s="10">
        <v>3402.3</v>
      </c>
      <c r="P106" s="10">
        <v>3224</v>
      </c>
      <c r="Q106" s="8">
        <f t="shared" si="49"/>
        <v>75146.3</v>
      </c>
      <c r="R106" s="9"/>
    </row>
    <row r="107" spans="1:18">
      <c r="E107" s="1">
        <f t="shared" ref="E107:Q107" si="52">E4/E93</f>
        <v>363190.23499999999</v>
      </c>
      <c r="F107" s="86">
        <f t="shared" si="52"/>
        <v>369146.92568047333</v>
      </c>
      <c r="G107" s="1">
        <f t="shared" si="52"/>
        <v>338748.36252631579</v>
      </c>
      <c r="H107" s="1">
        <f t="shared" si="52"/>
        <v>341336.15767123288</v>
      </c>
      <c r="I107" s="1">
        <f t="shared" si="52"/>
        <v>336001.95672131149</v>
      </c>
      <c r="J107" s="1">
        <f t="shared" si="52"/>
        <v>330979.5244827586</v>
      </c>
      <c r="K107" s="1">
        <f t="shared" si="52"/>
        <v>318958.8481818182</v>
      </c>
      <c r="L107" s="1">
        <f t="shared" si="52"/>
        <v>318943.17851851851</v>
      </c>
      <c r="M107" s="86">
        <f t="shared" si="52"/>
        <v>313768.55079999997</v>
      </c>
      <c r="N107" s="1">
        <f t="shared" si="52"/>
        <v>301352.11470588238</v>
      </c>
      <c r="O107" s="1">
        <f t="shared" si="52"/>
        <v>307375.9957142857</v>
      </c>
      <c r="P107" s="1">
        <f t="shared" si="52"/>
        <v>302693.40949999995</v>
      </c>
      <c r="Q107" s="1">
        <f t="shared" si="52"/>
        <v>338868.77250755287</v>
      </c>
    </row>
    <row r="111" spans="1:18">
      <c r="E111" s="36"/>
      <c r="F111" s="36"/>
      <c r="G111" s="36"/>
      <c r="H111" s="36"/>
      <c r="I111" s="36"/>
      <c r="J111" s="36"/>
      <c r="K111" s="36"/>
      <c r="L111" s="36"/>
      <c r="M111" s="36"/>
      <c r="N111" s="36"/>
      <c r="O111" s="36"/>
      <c r="P111" s="36"/>
      <c r="Q111" s="36"/>
    </row>
  </sheetData>
  <protectedRanges>
    <protectedRange password="E9C1" sqref="D28 Q21:R26 R20 Q4:R9 R10 R27 A2:R3 A4:D5 Q11:R19 B6:D26 Q28:R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R1"/>
  </mergeCells>
  <phoneticPr fontId="3" type="noConversion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07"/>
  <sheetViews>
    <sheetView workbookViewId="0">
      <pane xSplit="4" ySplit="2" topLeftCell="E77" activePane="bottomRight" state="frozen"/>
      <selection pane="topRight" activeCell="E1" sqref="E1"/>
      <selection pane="bottomLeft" activeCell="A3" sqref="A3"/>
      <selection pane="bottomRight" activeCell="M3" sqref="M3:M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14" ht="25.5">
      <c r="A1" s="343" t="s">
        <v>0</v>
      </c>
      <c r="B1" s="344"/>
      <c r="C1" s="344"/>
      <c r="D1" s="344"/>
      <c r="E1" s="344"/>
      <c r="F1" s="344"/>
      <c r="G1" s="344"/>
      <c r="H1" s="344"/>
      <c r="I1" s="344"/>
      <c r="J1" s="344"/>
      <c r="K1" s="344"/>
      <c r="L1" s="344"/>
      <c r="M1" s="344"/>
      <c r="N1" s="344"/>
    </row>
    <row r="2" spans="1:14" ht="30" customHeight="1">
      <c r="A2" s="2" t="s">
        <v>1</v>
      </c>
      <c r="B2" s="2" t="s">
        <v>2</v>
      </c>
      <c r="C2" s="2" t="s">
        <v>3</v>
      </c>
      <c r="D2" s="3" t="s">
        <v>4</v>
      </c>
      <c r="E2" s="3" t="s">
        <v>287</v>
      </c>
      <c r="F2" s="3" t="s">
        <v>288</v>
      </c>
      <c r="G2" s="3" t="s">
        <v>289</v>
      </c>
      <c r="H2" s="3" t="s">
        <v>290</v>
      </c>
      <c r="I2" s="3" t="s">
        <v>291</v>
      </c>
      <c r="J2" s="3" t="s">
        <v>22</v>
      </c>
      <c r="K2" s="3" t="s">
        <v>292</v>
      </c>
      <c r="L2" s="3" t="s">
        <v>293</v>
      </c>
      <c r="M2" s="3" t="s">
        <v>24</v>
      </c>
      <c r="N2" s="4" t="s">
        <v>25</v>
      </c>
    </row>
    <row r="3" spans="1:14">
      <c r="A3" s="5" t="s">
        <v>26</v>
      </c>
      <c r="B3" s="6" t="s">
        <v>27</v>
      </c>
      <c r="C3" s="6"/>
      <c r="D3" s="7" t="s">
        <v>28</v>
      </c>
      <c r="E3" s="8">
        <f t="shared" ref="E3:L3" si="0">E4+E30+E49</f>
        <v>11128817.98</v>
      </c>
      <c r="F3" s="8">
        <f t="shared" si="0"/>
        <v>60838674.350000009</v>
      </c>
      <c r="G3" s="8">
        <f t="shared" si="0"/>
        <v>63181881.060000002</v>
      </c>
      <c r="H3" s="8">
        <f t="shared" si="0"/>
        <v>15587679.199999999</v>
      </c>
      <c r="I3" s="8">
        <f t="shared" si="0"/>
        <v>13245217.07</v>
      </c>
      <c r="J3" s="8">
        <f t="shared" si="0"/>
        <v>2866570.86</v>
      </c>
      <c r="K3" s="8">
        <f t="shared" si="0"/>
        <v>48456611.219999999</v>
      </c>
      <c r="L3" s="8">
        <f t="shared" si="0"/>
        <v>21988982.420000002</v>
      </c>
      <c r="M3" s="8">
        <f t="shared" ref="M3:M9" si="1">SUM(E3:L3)</f>
        <v>237294434.16000003</v>
      </c>
      <c r="N3" s="9"/>
    </row>
    <row r="4" spans="1:14">
      <c r="A4" s="5" t="s">
        <v>29</v>
      </c>
      <c r="B4" s="6" t="s">
        <v>30</v>
      </c>
      <c r="C4" s="6"/>
      <c r="D4" s="7" t="s">
        <v>28</v>
      </c>
      <c r="E4" s="8">
        <f t="shared" ref="E4:L4" si="2">E5+E8+E12+E15+E18+E20+E23+E25+E27+E28+E29</f>
        <v>9811035.5500000007</v>
      </c>
      <c r="F4" s="8">
        <f t="shared" si="2"/>
        <v>51843665.730000004</v>
      </c>
      <c r="G4" s="8">
        <f t="shared" si="2"/>
        <v>53516730.469999999</v>
      </c>
      <c r="H4" s="8">
        <f t="shared" si="2"/>
        <v>13258871.669999998</v>
      </c>
      <c r="I4" s="8">
        <f t="shared" si="2"/>
        <v>11380665.030000001</v>
      </c>
      <c r="J4" s="8">
        <f t="shared" si="2"/>
        <v>2506081.7199999997</v>
      </c>
      <c r="K4" s="8">
        <f t="shared" si="2"/>
        <v>42548651.649999999</v>
      </c>
      <c r="L4" s="8">
        <f t="shared" si="2"/>
        <v>19044603.550000001</v>
      </c>
      <c r="M4" s="8">
        <f t="shared" si="1"/>
        <v>203910305.37</v>
      </c>
      <c r="N4" s="9"/>
    </row>
    <row r="5" spans="1:14">
      <c r="A5" s="5" t="s">
        <v>31</v>
      </c>
      <c r="B5" s="6" t="s">
        <v>32</v>
      </c>
      <c r="C5" s="6"/>
      <c r="D5" s="7" t="s">
        <v>28</v>
      </c>
      <c r="E5" s="8">
        <f>E6+E7</f>
        <v>1485348</v>
      </c>
      <c r="F5" s="8">
        <f t="shared" ref="F5:L5" si="3">F6+F7</f>
        <v>7574388</v>
      </c>
      <c r="G5" s="8">
        <f t="shared" si="3"/>
        <v>7437696</v>
      </c>
      <c r="H5" s="8">
        <f t="shared" si="3"/>
        <v>1704960</v>
      </c>
      <c r="I5" s="8">
        <f t="shared" si="3"/>
        <v>1432176</v>
      </c>
      <c r="J5" s="8">
        <f t="shared" si="3"/>
        <v>399192</v>
      </c>
      <c r="K5" s="8">
        <f t="shared" si="3"/>
        <v>6198732</v>
      </c>
      <c r="L5" s="8">
        <f t="shared" si="3"/>
        <v>2531940</v>
      </c>
      <c r="M5" s="8">
        <f t="shared" si="1"/>
        <v>28764432</v>
      </c>
      <c r="N5" s="9"/>
    </row>
    <row r="6" spans="1:14">
      <c r="A6" s="5" t="s">
        <v>33</v>
      </c>
      <c r="B6" s="6" t="s">
        <v>34</v>
      </c>
      <c r="C6" s="6" t="s">
        <v>35</v>
      </c>
      <c r="D6" s="7" t="s">
        <v>36</v>
      </c>
      <c r="E6" s="10">
        <v>805752</v>
      </c>
      <c r="F6" s="10">
        <v>4046640</v>
      </c>
      <c r="G6" s="10">
        <v>4069860</v>
      </c>
      <c r="H6" s="10">
        <v>1081404</v>
      </c>
      <c r="I6" s="10">
        <v>892764</v>
      </c>
      <c r="J6" s="10">
        <v>185508</v>
      </c>
      <c r="K6" s="10">
        <v>3240504</v>
      </c>
      <c r="L6" s="10">
        <v>1512900</v>
      </c>
      <c r="M6" s="8">
        <f t="shared" si="1"/>
        <v>15835332</v>
      </c>
      <c r="N6" s="11"/>
    </row>
    <row r="7" spans="1:14">
      <c r="A7" s="5" t="s">
        <v>37</v>
      </c>
      <c r="B7" s="6" t="s">
        <v>38</v>
      </c>
      <c r="C7" s="6" t="s">
        <v>35</v>
      </c>
      <c r="D7" s="7" t="s">
        <v>36</v>
      </c>
      <c r="E7" s="10">
        <v>679596</v>
      </c>
      <c r="F7" s="10">
        <v>3527748</v>
      </c>
      <c r="G7" s="10">
        <v>3367836</v>
      </c>
      <c r="H7" s="10">
        <v>623556</v>
      </c>
      <c r="I7" s="10">
        <v>539412</v>
      </c>
      <c r="J7" s="10">
        <v>213684</v>
      </c>
      <c r="K7" s="10">
        <v>2958228</v>
      </c>
      <c r="L7" s="10">
        <v>1019040</v>
      </c>
      <c r="M7" s="8">
        <f t="shared" si="1"/>
        <v>12929100</v>
      </c>
      <c r="N7" s="9"/>
    </row>
    <row r="8" spans="1:14">
      <c r="A8" s="5" t="s">
        <v>39</v>
      </c>
      <c r="B8" s="6" t="s">
        <v>40</v>
      </c>
      <c r="C8" s="6"/>
      <c r="D8" s="7" t="s">
        <v>28</v>
      </c>
      <c r="E8" s="8">
        <f>E9+E10</f>
        <v>161112</v>
      </c>
      <c r="F8" s="8">
        <f t="shared" ref="F8:L8" si="4">F9+F10</f>
        <v>767664</v>
      </c>
      <c r="G8" s="8">
        <f t="shared" si="4"/>
        <v>809424</v>
      </c>
      <c r="H8" s="8">
        <f t="shared" si="4"/>
        <v>238902</v>
      </c>
      <c r="I8" s="8">
        <f t="shared" si="4"/>
        <v>192264</v>
      </c>
      <c r="J8" s="8">
        <f t="shared" si="4"/>
        <v>38004</v>
      </c>
      <c r="K8" s="8">
        <f t="shared" si="4"/>
        <v>633876</v>
      </c>
      <c r="L8" s="8">
        <f t="shared" si="4"/>
        <v>315504</v>
      </c>
      <c r="M8" s="8">
        <f t="shared" si="1"/>
        <v>3156750</v>
      </c>
      <c r="N8" s="9"/>
    </row>
    <row r="9" spans="1:14">
      <c r="A9" s="5" t="s">
        <v>41</v>
      </c>
      <c r="B9" s="6" t="s">
        <v>42</v>
      </c>
      <c r="C9" s="6" t="s">
        <v>35</v>
      </c>
      <c r="D9" s="7" t="s">
        <v>36</v>
      </c>
      <c r="E9" s="10">
        <f>226*12</f>
        <v>2712</v>
      </c>
      <c r="F9" s="10">
        <v>12624</v>
      </c>
      <c r="G9" s="10">
        <v>12144</v>
      </c>
      <c r="H9" s="10">
        <v>11862</v>
      </c>
      <c r="I9" s="10">
        <v>2184</v>
      </c>
      <c r="J9" s="10">
        <v>1044</v>
      </c>
      <c r="K9" s="10">
        <v>10836</v>
      </c>
      <c r="L9" s="10">
        <v>3984</v>
      </c>
      <c r="M9" s="8">
        <f t="shared" si="1"/>
        <v>57390</v>
      </c>
      <c r="N9" s="9"/>
    </row>
    <row r="10" spans="1:14">
      <c r="A10" s="5" t="s">
        <v>43</v>
      </c>
      <c r="B10" s="6" t="s">
        <v>44</v>
      </c>
      <c r="C10" s="6"/>
      <c r="D10" s="7" t="s">
        <v>28</v>
      </c>
      <c r="E10" s="8">
        <f>E11</f>
        <v>158400</v>
      </c>
      <c r="F10" s="8">
        <f t="shared" ref="F10:M10" si="5">F11</f>
        <v>755040</v>
      </c>
      <c r="G10" s="8">
        <f t="shared" si="5"/>
        <v>797280</v>
      </c>
      <c r="H10" s="8">
        <f t="shared" si="5"/>
        <v>227040</v>
      </c>
      <c r="I10" s="8">
        <f t="shared" si="5"/>
        <v>190080</v>
      </c>
      <c r="J10" s="8">
        <f t="shared" si="5"/>
        <v>36960</v>
      </c>
      <c r="K10" s="8">
        <f t="shared" si="5"/>
        <v>623040</v>
      </c>
      <c r="L10" s="8">
        <f t="shared" si="5"/>
        <v>311520</v>
      </c>
      <c r="M10" s="8">
        <f t="shared" si="5"/>
        <v>3099360</v>
      </c>
      <c r="N10" s="9"/>
    </row>
    <row r="11" spans="1:14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>440*12*E93</f>
        <v>158400</v>
      </c>
      <c r="F11" s="8">
        <f t="shared" ref="F11:L11" si="6">440*12*F93</f>
        <v>755040</v>
      </c>
      <c r="G11" s="8">
        <f t="shared" si="6"/>
        <v>797280</v>
      </c>
      <c r="H11" s="8">
        <f t="shared" si="6"/>
        <v>227040</v>
      </c>
      <c r="I11" s="8">
        <f t="shared" si="6"/>
        <v>190080</v>
      </c>
      <c r="J11" s="8">
        <f t="shared" si="6"/>
        <v>36960</v>
      </c>
      <c r="K11" s="8">
        <f t="shared" si="6"/>
        <v>623040</v>
      </c>
      <c r="L11" s="8">
        <f t="shared" si="6"/>
        <v>311520</v>
      </c>
      <c r="M11" s="8">
        <f t="shared" ref="M11:M26" si="7">SUM(E11:L11)</f>
        <v>3099360</v>
      </c>
      <c r="N11" s="9"/>
    </row>
    <row r="12" spans="1:14">
      <c r="A12" s="5" t="s">
        <v>47</v>
      </c>
      <c r="B12" s="6" t="s">
        <v>48</v>
      </c>
      <c r="C12" s="6"/>
      <c r="D12" s="7" t="s">
        <v>49</v>
      </c>
      <c r="E12" s="8">
        <f>E13+E14</f>
        <v>44889.55</v>
      </c>
      <c r="F12" s="8">
        <f t="shared" ref="F12:L12" si="8">F13+F14</f>
        <v>249859.73</v>
      </c>
      <c r="G12" s="8">
        <f t="shared" si="8"/>
        <v>252958.46000000002</v>
      </c>
      <c r="H12" s="8">
        <f t="shared" si="8"/>
        <v>58007.67</v>
      </c>
      <c r="I12" s="8">
        <f t="shared" si="8"/>
        <v>53193.020000000004</v>
      </c>
      <c r="J12" s="8">
        <f t="shared" si="8"/>
        <v>11881.73</v>
      </c>
      <c r="K12" s="8">
        <f t="shared" si="8"/>
        <v>203229.65000000002</v>
      </c>
      <c r="L12" s="8">
        <f t="shared" si="8"/>
        <v>90573.55</v>
      </c>
      <c r="M12" s="8">
        <f t="shared" si="7"/>
        <v>964593.3600000001</v>
      </c>
      <c r="N12" s="9"/>
    </row>
    <row r="13" spans="1:14" s="13" customFormat="1">
      <c r="A13" s="5" t="s">
        <v>50</v>
      </c>
      <c r="B13" s="49" t="s">
        <v>584</v>
      </c>
      <c r="C13" s="12" t="s">
        <v>35</v>
      </c>
      <c r="D13" s="9" t="s">
        <v>51</v>
      </c>
      <c r="E13" s="8">
        <f>ROUND(E28/0.07*0.00256,2)</f>
        <v>15200.69</v>
      </c>
      <c r="F13" s="8">
        <f t="shared" ref="F13:L13" si="9">ROUND(F28/0.07*0.00256,2)</f>
        <v>84608.59</v>
      </c>
      <c r="G13" s="8">
        <f t="shared" si="9"/>
        <v>85657.89</v>
      </c>
      <c r="H13" s="8">
        <f t="shared" si="9"/>
        <v>19642.810000000001</v>
      </c>
      <c r="I13" s="8">
        <f t="shared" si="9"/>
        <v>18012.45</v>
      </c>
      <c r="J13" s="8">
        <f t="shared" si="9"/>
        <v>4023.44</v>
      </c>
      <c r="K13" s="8">
        <f t="shared" si="9"/>
        <v>68818.509999999995</v>
      </c>
      <c r="L13" s="8">
        <f t="shared" si="9"/>
        <v>30670.41</v>
      </c>
      <c r="M13" s="8">
        <f t="shared" si="7"/>
        <v>326634.78999999998</v>
      </c>
      <c r="N13" s="9"/>
    </row>
    <row r="14" spans="1:14" s="13" customFormat="1">
      <c r="A14" s="5" t="s">
        <v>52</v>
      </c>
      <c r="B14" s="49" t="s">
        <v>585</v>
      </c>
      <c r="C14" s="12" t="s">
        <v>35</v>
      </c>
      <c r="D14" s="9" t="s">
        <v>51</v>
      </c>
      <c r="E14" s="8">
        <f>ROUND(E28/0.07*0.005,2)</f>
        <v>29688.86</v>
      </c>
      <c r="F14" s="8">
        <f t="shared" ref="F14:L14" si="10">ROUND(F28/0.07*0.005,2)</f>
        <v>165251.14000000001</v>
      </c>
      <c r="G14" s="8">
        <f t="shared" si="10"/>
        <v>167300.57</v>
      </c>
      <c r="H14" s="8">
        <f t="shared" si="10"/>
        <v>38364.86</v>
      </c>
      <c r="I14" s="8">
        <f t="shared" si="10"/>
        <v>35180.57</v>
      </c>
      <c r="J14" s="8">
        <f t="shared" si="10"/>
        <v>7858.29</v>
      </c>
      <c r="K14" s="8">
        <f t="shared" si="10"/>
        <v>134411.14000000001</v>
      </c>
      <c r="L14" s="8">
        <f t="shared" si="10"/>
        <v>59903.14</v>
      </c>
      <c r="M14" s="8">
        <f t="shared" si="7"/>
        <v>637958.56999999995</v>
      </c>
      <c r="N14" s="9"/>
    </row>
    <row r="15" spans="1:14">
      <c r="A15" s="5" t="s">
        <v>53</v>
      </c>
      <c r="B15" s="6" t="s">
        <v>55</v>
      </c>
      <c r="C15" s="6"/>
      <c r="D15" s="7" t="s">
        <v>28</v>
      </c>
      <c r="E15" s="8">
        <v>5238000</v>
      </c>
      <c r="F15" s="8">
        <v>27355900</v>
      </c>
      <c r="G15" s="8">
        <v>28886300</v>
      </c>
      <c r="H15" s="8">
        <v>7507800</v>
      </c>
      <c r="I15" s="8">
        <v>6285600</v>
      </c>
      <c r="J15" s="8">
        <v>1299900</v>
      </c>
      <c r="K15" s="8">
        <v>22573400</v>
      </c>
      <c r="L15" s="8">
        <v>10301400</v>
      </c>
      <c r="M15" s="8">
        <f t="shared" si="7"/>
        <v>109448300</v>
      </c>
      <c r="N15" s="9"/>
    </row>
    <row r="16" spans="1:14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5070424</v>
      </c>
      <c r="F16" s="16">
        <f t="shared" ref="F16:L16" si="11">F15-F17</f>
        <v>26859408</v>
      </c>
      <c r="G16" s="16">
        <f t="shared" si="11"/>
        <v>28640396</v>
      </c>
      <c r="H16" s="16">
        <f t="shared" si="11"/>
        <v>7319656</v>
      </c>
      <c r="I16" s="16">
        <f t="shared" si="11"/>
        <v>6104224</v>
      </c>
      <c r="J16" s="16">
        <f t="shared" si="11"/>
        <v>1299900</v>
      </c>
      <c r="K16" s="16">
        <f t="shared" si="11"/>
        <v>22154428</v>
      </c>
      <c r="L16" s="16">
        <f t="shared" si="11"/>
        <v>10074544</v>
      </c>
      <c r="M16" s="8">
        <f t="shared" si="7"/>
        <v>107522980</v>
      </c>
      <c r="N16" s="15"/>
    </row>
    <row r="17" spans="1:14">
      <c r="A17" s="5" t="s">
        <v>56</v>
      </c>
      <c r="B17" s="14" t="s">
        <v>60</v>
      </c>
      <c r="C17" s="14" t="s">
        <v>35</v>
      </c>
      <c r="D17" s="15" t="s">
        <v>61</v>
      </c>
      <c r="E17" s="16">
        <v>167576</v>
      </c>
      <c r="F17" s="16">
        <v>496492</v>
      </c>
      <c r="G17" s="16">
        <v>245904</v>
      </c>
      <c r="H17" s="16">
        <v>188144</v>
      </c>
      <c r="I17" s="16">
        <v>181376</v>
      </c>
      <c r="J17" s="16"/>
      <c r="K17" s="16">
        <v>418972</v>
      </c>
      <c r="L17" s="16">
        <v>226856</v>
      </c>
      <c r="M17" s="8">
        <f t="shared" si="7"/>
        <v>1925320</v>
      </c>
      <c r="N17" s="15"/>
    </row>
    <row r="18" spans="1:14">
      <c r="A18" s="5" t="s">
        <v>59</v>
      </c>
      <c r="B18" s="6" t="s">
        <v>63</v>
      </c>
      <c r="C18" s="6"/>
      <c r="D18" s="15" t="s">
        <v>28</v>
      </c>
      <c r="E18" s="17">
        <f>E19</f>
        <v>623466</v>
      </c>
      <c r="F18" s="17">
        <f t="shared" ref="F18:L18" si="12">F19</f>
        <v>3470274</v>
      </c>
      <c r="G18" s="17">
        <f t="shared" si="12"/>
        <v>3513312</v>
      </c>
      <c r="H18" s="17">
        <f t="shared" si="12"/>
        <v>805662</v>
      </c>
      <c r="I18" s="17">
        <f t="shared" si="12"/>
        <v>738792</v>
      </c>
      <c r="J18" s="17">
        <f t="shared" si="12"/>
        <v>165024</v>
      </c>
      <c r="K18" s="17">
        <f t="shared" si="12"/>
        <v>2822634</v>
      </c>
      <c r="L18" s="17">
        <f t="shared" si="12"/>
        <v>1257966</v>
      </c>
      <c r="M18" s="8">
        <f t="shared" si="7"/>
        <v>13397130</v>
      </c>
      <c r="N18" s="15"/>
    </row>
    <row r="19" spans="1:14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623466</v>
      </c>
      <c r="F19" s="17">
        <f t="shared" ref="F19:L19" si="13">ROUND(F28/0.07*0.105,2)</f>
        <v>3470274</v>
      </c>
      <c r="G19" s="17">
        <f t="shared" si="13"/>
        <v>3513312</v>
      </c>
      <c r="H19" s="17">
        <f t="shared" si="13"/>
        <v>805662</v>
      </c>
      <c r="I19" s="17">
        <f t="shared" si="13"/>
        <v>738792</v>
      </c>
      <c r="J19" s="17">
        <f t="shared" si="13"/>
        <v>165024</v>
      </c>
      <c r="K19" s="17">
        <f t="shared" si="13"/>
        <v>2822634</v>
      </c>
      <c r="L19" s="17">
        <f t="shared" si="13"/>
        <v>1257966</v>
      </c>
      <c r="M19" s="8">
        <f t="shared" si="7"/>
        <v>13397130</v>
      </c>
      <c r="N19" s="15"/>
    </row>
    <row r="20" spans="1:14">
      <c r="A20" s="5" t="s">
        <v>64</v>
      </c>
      <c r="B20" s="6" t="s">
        <v>68</v>
      </c>
      <c r="C20" s="6"/>
      <c r="D20" s="15" t="s">
        <v>51</v>
      </c>
      <c r="E20" s="17">
        <f>E21+E22</f>
        <v>237510.86</v>
      </c>
      <c r="F20" s="17">
        <f t="shared" ref="F20:L20" si="14">F21+F22</f>
        <v>1322009.1399999999</v>
      </c>
      <c r="G20" s="17">
        <f t="shared" si="14"/>
        <v>1338404.58</v>
      </c>
      <c r="H20" s="17">
        <f t="shared" si="14"/>
        <v>306918.86</v>
      </c>
      <c r="I20" s="17">
        <f t="shared" si="14"/>
        <v>281444.58</v>
      </c>
      <c r="J20" s="17">
        <f t="shared" si="14"/>
        <v>62866.28</v>
      </c>
      <c r="K20" s="17">
        <f t="shared" si="14"/>
        <v>1075289.1399999999</v>
      </c>
      <c r="L20" s="17">
        <f t="shared" si="14"/>
        <v>479225.14</v>
      </c>
      <c r="M20" s="8">
        <f t="shared" si="7"/>
        <v>5103668.5799999991</v>
      </c>
      <c r="N20" s="15"/>
    </row>
    <row r="21" spans="1:14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118755.43</v>
      </c>
      <c r="F21" s="17">
        <f t="shared" ref="F21:L21" si="15">ROUND(F28/0.07*0.02,2)</f>
        <v>661004.56999999995</v>
      </c>
      <c r="G21" s="17">
        <f t="shared" si="15"/>
        <v>669202.29</v>
      </c>
      <c r="H21" s="17">
        <f t="shared" si="15"/>
        <v>153459.43</v>
      </c>
      <c r="I21" s="17">
        <f t="shared" si="15"/>
        <v>140722.29</v>
      </c>
      <c r="J21" s="17">
        <f t="shared" si="15"/>
        <v>31433.14</v>
      </c>
      <c r="K21" s="17">
        <f t="shared" si="15"/>
        <v>537644.56999999995</v>
      </c>
      <c r="L21" s="17">
        <f t="shared" si="15"/>
        <v>239612.57</v>
      </c>
      <c r="M21" s="8">
        <f t="shared" si="7"/>
        <v>2551834.2899999996</v>
      </c>
      <c r="N21" s="15"/>
    </row>
    <row r="22" spans="1:14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118755.43</v>
      </c>
      <c r="F22" s="17">
        <f t="shared" ref="F22:L22" si="16">ROUND(F28/0.07*0.02,2)</f>
        <v>661004.56999999995</v>
      </c>
      <c r="G22" s="17">
        <f t="shared" si="16"/>
        <v>669202.29</v>
      </c>
      <c r="H22" s="17">
        <f t="shared" si="16"/>
        <v>153459.43</v>
      </c>
      <c r="I22" s="17">
        <f t="shared" si="16"/>
        <v>140722.29</v>
      </c>
      <c r="J22" s="17">
        <f t="shared" si="16"/>
        <v>31433.14</v>
      </c>
      <c r="K22" s="17">
        <f t="shared" si="16"/>
        <v>537644.56999999995</v>
      </c>
      <c r="L22" s="17">
        <f t="shared" si="16"/>
        <v>239612.57</v>
      </c>
      <c r="M22" s="8">
        <f t="shared" si="7"/>
        <v>2551834.2899999996</v>
      </c>
      <c r="N22" s="15"/>
    </row>
    <row r="23" spans="1:14">
      <c r="A23" s="5" t="s">
        <v>72</v>
      </c>
      <c r="B23" s="6" t="s">
        <v>75</v>
      </c>
      <c r="C23" s="6"/>
      <c r="D23" s="7" t="s">
        <v>28</v>
      </c>
      <c r="E23" s="8">
        <f>E24</f>
        <v>950043.43</v>
      </c>
      <c r="F23" s="8">
        <f t="shared" ref="F23:L23" si="17">F24</f>
        <v>5288036.57</v>
      </c>
      <c r="G23" s="8">
        <f t="shared" si="17"/>
        <v>5353618.29</v>
      </c>
      <c r="H23" s="8">
        <f t="shared" si="17"/>
        <v>1227675.43</v>
      </c>
      <c r="I23" s="8">
        <f t="shared" si="17"/>
        <v>1125778.29</v>
      </c>
      <c r="J23" s="8">
        <f t="shared" si="17"/>
        <v>251465.14</v>
      </c>
      <c r="K23" s="8">
        <f t="shared" si="17"/>
        <v>4301156.57</v>
      </c>
      <c r="L23" s="8">
        <f t="shared" si="17"/>
        <v>1916900.57</v>
      </c>
      <c r="M23" s="8">
        <f t="shared" si="7"/>
        <v>20414674.289999999</v>
      </c>
      <c r="N23" s="9"/>
    </row>
    <row r="24" spans="1:14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950043.43</v>
      </c>
      <c r="F24" s="8">
        <f t="shared" ref="F24:L24" si="18">ROUND(F28/0.07*0.16,2)</f>
        <v>5288036.57</v>
      </c>
      <c r="G24" s="8">
        <f t="shared" si="18"/>
        <v>5353618.29</v>
      </c>
      <c r="H24" s="8">
        <f t="shared" si="18"/>
        <v>1227675.43</v>
      </c>
      <c r="I24" s="8">
        <f t="shared" si="18"/>
        <v>1125778.29</v>
      </c>
      <c r="J24" s="8">
        <f t="shared" si="18"/>
        <v>251465.14</v>
      </c>
      <c r="K24" s="8">
        <f t="shared" si="18"/>
        <v>4301156.57</v>
      </c>
      <c r="L24" s="8">
        <f t="shared" si="18"/>
        <v>1916900.57</v>
      </c>
      <c r="M24" s="8">
        <f t="shared" si="7"/>
        <v>20414674.289999999</v>
      </c>
      <c r="N24" s="9"/>
    </row>
    <row r="25" spans="1:14">
      <c r="A25" s="5" t="s">
        <v>76</v>
      </c>
      <c r="B25" s="6" t="s">
        <v>80</v>
      </c>
      <c r="C25" s="6"/>
      <c r="D25" s="7" t="s">
        <v>28</v>
      </c>
      <c r="E25" s="8">
        <f>E26</f>
        <v>475021.71</v>
      </c>
      <c r="F25" s="8">
        <f t="shared" ref="F25:L25" si="19">F26</f>
        <v>2644018.29</v>
      </c>
      <c r="G25" s="8">
        <f t="shared" si="19"/>
        <v>2676809.14</v>
      </c>
      <c r="H25" s="8">
        <f t="shared" si="19"/>
        <v>613837.71</v>
      </c>
      <c r="I25" s="8">
        <f t="shared" si="19"/>
        <v>562889.14</v>
      </c>
      <c r="J25" s="8">
        <f t="shared" si="19"/>
        <v>125732.57</v>
      </c>
      <c r="K25" s="8">
        <f t="shared" si="19"/>
        <v>2150578.29</v>
      </c>
      <c r="L25" s="8">
        <f t="shared" si="19"/>
        <v>958450.29</v>
      </c>
      <c r="M25" s="8">
        <f t="shared" si="7"/>
        <v>10207337.140000001</v>
      </c>
      <c r="N25" s="9"/>
    </row>
    <row r="26" spans="1:14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475021.71</v>
      </c>
      <c r="F26" s="8">
        <f t="shared" ref="F26:L26" si="20">ROUND(F28/0.07*0.08,2)</f>
        <v>2644018.29</v>
      </c>
      <c r="G26" s="8">
        <f t="shared" si="20"/>
        <v>2676809.14</v>
      </c>
      <c r="H26" s="8">
        <f t="shared" si="20"/>
        <v>613837.71</v>
      </c>
      <c r="I26" s="8">
        <f t="shared" si="20"/>
        <v>562889.14</v>
      </c>
      <c r="J26" s="8">
        <f t="shared" si="20"/>
        <v>125732.57</v>
      </c>
      <c r="K26" s="8">
        <f t="shared" si="20"/>
        <v>2150578.29</v>
      </c>
      <c r="L26" s="8">
        <f t="shared" si="20"/>
        <v>958450.29</v>
      </c>
      <c r="M26" s="8">
        <f t="shared" si="7"/>
        <v>10207337.140000001</v>
      </c>
      <c r="N26" s="9"/>
    </row>
    <row r="27" spans="1:14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180000</v>
      </c>
      <c r="F27" s="8">
        <f t="shared" ref="F27:M27" si="21">6000*F93</f>
        <v>858000</v>
      </c>
      <c r="G27" s="8">
        <f t="shared" si="21"/>
        <v>906000</v>
      </c>
      <c r="H27" s="8">
        <f t="shared" si="21"/>
        <v>258000</v>
      </c>
      <c r="I27" s="8">
        <f t="shared" si="21"/>
        <v>216000</v>
      </c>
      <c r="J27" s="8">
        <f t="shared" si="21"/>
        <v>42000</v>
      </c>
      <c r="K27" s="8">
        <f t="shared" si="21"/>
        <v>708000</v>
      </c>
      <c r="L27" s="8">
        <f t="shared" si="21"/>
        <v>354000</v>
      </c>
      <c r="M27" s="8">
        <f t="shared" si="21"/>
        <v>3522000</v>
      </c>
      <c r="N27" s="9"/>
    </row>
    <row r="28" spans="1:14">
      <c r="A28" s="5" t="s">
        <v>84</v>
      </c>
      <c r="B28" s="6" t="s">
        <v>88</v>
      </c>
      <c r="C28" s="6" t="s">
        <v>88</v>
      </c>
      <c r="D28" s="7" t="s">
        <v>89</v>
      </c>
      <c r="E28" s="16">
        <v>415644</v>
      </c>
      <c r="F28" s="16">
        <v>2313516</v>
      </c>
      <c r="G28" s="16">
        <v>2342208</v>
      </c>
      <c r="H28" s="16">
        <v>537108</v>
      </c>
      <c r="I28" s="16">
        <v>492528</v>
      </c>
      <c r="J28" s="16">
        <v>110016</v>
      </c>
      <c r="K28" s="16">
        <v>1881756</v>
      </c>
      <c r="L28" s="16">
        <v>838644</v>
      </c>
      <c r="M28" s="8">
        <f t="shared" ref="M28:M89" si="22">SUM(E28:L28)</f>
        <v>8931420</v>
      </c>
      <c r="N28" s="15"/>
    </row>
    <row r="29" spans="1:14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8">
        <f t="shared" si="22"/>
        <v>0</v>
      </c>
      <c r="N29" s="15"/>
    </row>
    <row r="30" spans="1:14">
      <c r="A30" s="5" t="s">
        <v>90</v>
      </c>
      <c r="B30" s="6" t="s">
        <v>95</v>
      </c>
      <c r="C30" s="6"/>
      <c r="D30" s="7" t="s">
        <v>28</v>
      </c>
      <c r="E30" s="8">
        <f>E31+E39+E42+E44</f>
        <v>2660</v>
      </c>
      <c r="F30" s="8">
        <f t="shared" ref="F30:L30" si="23">F31+F39+F42+F44</f>
        <v>17640</v>
      </c>
      <c r="G30" s="8">
        <f t="shared" si="23"/>
        <v>111460</v>
      </c>
      <c r="H30" s="8">
        <f t="shared" si="23"/>
        <v>2840</v>
      </c>
      <c r="I30" s="8">
        <f t="shared" si="23"/>
        <v>7740</v>
      </c>
      <c r="J30" s="8">
        <f t="shared" si="23"/>
        <v>360</v>
      </c>
      <c r="K30" s="8">
        <f t="shared" si="23"/>
        <v>10200</v>
      </c>
      <c r="L30" s="8">
        <f t="shared" si="23"/>
        <v>7290</v>
      </c>
      <c r="M30" s="8">
        <f t="shared" si="22"/>
        <v>160190</v>
      </c>
      <c r="N30" s="9"/>
    </row>
    <row r="31" spans="1:14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 t="shared" ref="F31:L31" si="24">F32+F33+F34+F35+F36+F37+F38</f>
        <v>0</v>
      </c>
      <c r="G31" s="8">
        <f t="shared" si="24"/>
        <v>101740</v>
      </c>
      <c r="H31" s="8">
        <f t="shared" si="24"/>
        <v>0</v>
      </c>
      <c r="I31" s="8">
        <f t="shared" si="24"/>
        <v>0</v>
      </c>
      <c r="J31" s="8">
        <f t="shared" si="24"/>
        <v>0</v>
      </c>
      <c r="K31" s="8">
        <f t="shared" si="24"/>
        <v>0</v>
      </c>
      <c r="L31" s="8">
        <f t="shared" si="24"/>
        <v>0</v>
      </c>
      <c r="M31" s="8">
        <f t="shared" si="22"/>
        <v>101740</v>
      </c>
      <c r="N31" s="9"/>
    </row>
    <row r="32" spans="1:14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>
        <v>492</v>
      </c>
      <c r="H32" s="16"/>
      <c r="I32" s="16"/>
      <c r="J32" s="16"/>
      <c r="K32" s="16"/>
      <c r="L32" s="16"/>
      <c r="M32" s="8">
        <f t="shared" si="22"/>
        <v>492</v>
      </c>
      <c r="N32" s="15"/>
    </row>
    <row r="33" spans="1:14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>
        <v>29400</v>
      </c>
      <c r="H33" s="16"/>
      <c r="I33" s="16"/>
      <c r="J33" s="16"/>
      <c r="K33" s="16"/>
      <c r="L33" s="16"/>
      <c r="M33" s="8">
        <f t="shared" si="22"/>
        <v>29400</v>
      </c>
      <c r="N33" s="15"/>
    </row>
    <row r="34" spans="1:14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8">
        <f t="shared" si="22"/>
        <v>0</v>
      </c>
      <c r="N34" s="15"/>
    </row>
    <row r="35" spans="1:14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8">
        <f t="shared" si="22"/>
        <v>0</v>
      </c>
      <c r="N35" s="15"/>
    </row>
    <row r="36" spans="1:14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8">
        <f t="shared" si="22"/>
        <v>0</v>
      </c>
      <c r="N36" s="15"/>
    </row>
    <row r="37" spans="1:14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>
        <v>71848</v>
      </c>
      <c r="H37" s="16"/>
      <c r="I37" s="16"/>
      <c r="J37" s="16"/>
      <c r="K37" s="16"/>
      <c r="L37" s="16"/>
      <c r="M37" s="8">
        <f t="shared" si="22"/>
        <v>71848</v>
      </c>
      <c r="N37" s="15"/>
    </row>
    <row r="38" spans="1:14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8">
        <f t="shared" si="22"/>
        <v>0</v>
      </c>
      <c r="N38" s="15"/>
    </row>
    <row r="39" spans="1:14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 t="shared" ref="F39:L39" si="25">F40+F41</f>
        <v>0</v>
      </c>
      <c r="G39" s="8">
        <f t="shared" si="25"/>
        <v>0</v>
      </c>
      <c r="H39" s="8">
        <f t="shared" si="25"/>
        <v>0</v>
      </c>
      <c r="I39" s="8">
        <f t="shared" si="25"/>
        <v>0</v>
      </c>
      <c r="J39" s="8">
        <f t="shared" si="25"/>
        <v>0</v>
      </c>
      <c r="K39" s="8">
        <f t="shared" si="25"/>
        <v>0</v>
      </c>
      <c r="L39" s="8">
        <f t="shared" si="25"/>
        <v>0</v>
      </c>
      <c r="M39" s="8">
        <f t="shared" si="22"/>
        <v>0</v>
      </c>
      <c r="N39" s="9"/>
    </row>
    <row r="40" spans="1:14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8">
        <f t="shared" si="22"/>
        <v>0</v>
      </c>
      <c r="N40" s="9"/>
    </row>
    <row r="41" spans="1:14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8">
        <f t="shared" si="22"/>
        <v>0</v>
      </c>
      <c r="N41" s="9"/>
    </row>
    <row r="42" spans="1:14">
      <c r="A42" s="5" t="s">
        <v>118</v>
      </c>
      <c r="B42" s="6" t="s">
        <v>125</v>
      </c>
      <c r="C42" s="6"/>
      <c r="D42" s="7" t="s">
        <v>28</v>
      </c>
      <c r="E42" s="8">
        <f>E43</f>
        <v>2160</v>
      </c>
      <c r="F42" s="8">
        <f t="shared" ref="F42:L42" si="26">F43</f>
        <v>6840</v>
      </c>
      <c r="G42" s="8">
        <f t="shared" si="26"/>
        <v>6120</v>
      </c>
      <c r="H42" s="8">
        <f t="shared" si="26"/>
        <v>1440</v>
      </c>
      <c r="I42" s="8">
        <f t="shared" si="26"/>
        <v>3240</v>
      </c>
      <c r="J42" s="8">
        <f t="shared" si="26"/>
        <v>360</v>
      </c>
      <c r="K42" s="8">
        <f t="shared" si="26"/>
        <v>7200</v>
      </c>
      <c r="L42" s="8">
        <f t="shared" si="26"/>
        <v>5040</v>
      </c>
      <c r="M42" s="8">
        <f t="shared" si="22"/>
        <v>32400</v>
      </c>
      <c r="N42" s="9"/>
    </row>
    <row r="43" spans="1:14">
      <c r="A43" s="5" t="s">
        <v>120</v>
      </c>
      <c r="B43" s="6" t="s">
        <v>127</v>
      </c>
      <c r="C43" s="6" t="s">
        <v>35</v>
      </c>
      <c r="D43" s="7" t="s">
        <v>36</v>
      </c>
      <c r="E43" s="10">
        <v>2160</v>
      </c>
      <c r="F43" s="10">
        <v>6840</v>
      </c>
      <c r="G43" s="10">
        <v>6120</v>
      </c>
      <c r="H43" s="10">
        <v>1440</v>
      </c>
      <c r="I43" s="10">
        <v>3240</v>
      </c>
      <c r="J43" s="10">
        <v>360</v>
      </c>
      <c r="K43" s="10">
        <v>7200</v>
      </c>
      <c r="L43" s="10">
        <v>5040</v>
      </c>
      <c r="M43" s="8">
        <f t="shared" si="22"/>
        <v>32400</v>
      </c>
      <c r="N43" s="9"/>
    </row>
    <row r="44" spans="1:14">
      <c r="A44" s="5" t="s">
        <v>122</v>
      </c>
      <c r="B44" s="6" t="s">
        <v>129</v>
      </c>
      <c r="C44" s="6"/>
      <c r="D44" s="7" t="s">
        <v>28</v>
      </c>
      <c r="E44" s="8">
        <f>SUM(E45:E48)</f>
        <v>500</v>
      </c>
      <c r="F44" s="8">
        <f t="shared" ref="F44:L44" si="27">SUM(F45:F48)</f>
        <v>10800</v>
      </c>
      <c r="G44" s="8">
        <f t="shared" si="27"/>
        <v>3600</v>
      </c>
      <c r="H44" s="8">
        <f t="shared" si="27"/>
        <v>1400</v>
      </c>
      <c r="I44" s="8">
        <f t="shared" si="27"/>
        <v>4500</v>
      </c>
      <c r="J44" s="8">
        <f t="shared" si="27"/>
        <v>0</v>
      </c>
      <c r="K44" s="8">
        <f t="shared" si="27"/>
        <v>3000</v>
      </c>
      <c r="L44" s="8">
        <f t="shared" si="27"/>
        <v>2250</v>
      </c>
      <c r="M44" s="8">
        <f t="shared" si="22"/>
        <v>26050</v>
      </c>
      <c r="N44" s="9"/>
    </row>
    <row r="45" spans="1:14">
      <c r="A45" s="5" t="s">
        <v>124</v>
      </c>
      <c r="B45" s="6" t="s">
        <v>131</v>
      </c>
      <c r="C45" s="6" t="s">
        <v>35</v>
      </c>
      <c r="D45" s="7" t="s">
        <v>132</v>
      </c>
      <c r="E45" s="10">
        <v>500</v>
      </c>
      <c r="F45" s="10">
        <v>10800</v>
      </c>
      <c r="G45" s="10">
        <v>3600</v>
      </c>
      <c r="H45" s="10">
        <v>1400</v>
      </c>
      <c r="I45" s="10">
        <v>4500</v>
      </c>
      <c r="J45" s="10"/>
      <c r="K45" s="10">
        <v>3000</v>
      </c>
      <c r="L45" s="10">
        <v>2250</v>
      </c>
      <c r="M45" s="8">
        <f t="shared" si="22"/>
        <v>26050</v>
      </c>
      <c r="N45" s="9"/>
    </row>
    <row r="46" spans="1:14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8">
        <f t="shared" si="22"/>
        <v>0</v>
      </c>
      <c r="N46" s="9"/>
    </row>
    <row r="47" spans="1:14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8">
        <f t="shared" si="22"/>
        <v>0</v>
      </c>
      <c r="N47" s="9"/>
    </row>
    <row r="48" spans="1:14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16"/>
      <c r="K48" s="16"/>
      <c r="L48" s="16"/>
      <c r="M48" s="8">
        <f t="shared" si="22"/>
        <v>0</v>
      </c>
      <c r="N48" s="15"/>
    </row>
    <row r="49" spans="1:14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1315122.43</v>
      </c>
      <c r="F49" s="8">
        <f t="shared" ref="F49:L49" si="28">F50+F68+F70+F72+F74+F76+F78+F80+F82+F90</f>
        <v>8977368.620000001</v>
      </c>
      <c r="G49" s="8">
        <f t="shared" si="28"/>
        <v>9553690.5899999999</v>
      </c>
      <c r="H49" s="8">
        <f t="shared" si="28"/>
        <v>2325967.5300000003</v>
      </c>
      <c r="I49" s="8">
        <f t="shared" si="28"/>
        <v>1856812.04</v>
      </c>
      <c r="J49" s="8">
        <f t="shared" si="28"/>
        <v>360129.14</v>
      </c>
      <c r="K49" s="8">
        <f t="shared" si="28"/>
        <v>5897759.5700000003</v>
      </c>
      <c r="L49" s="8">
        <f t="shared" si="28"/>
        <v>2937088.8699999996</v>
      </c>
      <c r="M49" s="8">
        <f t="shared" si="22"/>
        <v>33223938.790000003</v>
      </c>
      <c r="N49" s="9"/>
    </row>
    <row r="50" spans="1:14">
      <c r="A50" s="5" t="s">
        <v>136</v>
      </c>
      <c r="B50" s="6" t="s">
        <v>144</v>
      </c>
      <c r="C50" s="6"/>
      <c r="D50" s="7" t="s">
        <v>145</v>
      </c>
      <c r="E50" s="8">
        <v>892320</v>
      </c>
      <c r="F50" s="8">
        <v>6386200</v>
      </c>
      <c r="G50" s="8">
        <v>6994860</v>
      </c>
      <c r="H50" s="8">
        <v>1716000</v>
      </c>
      <c r="I50" s="8">
        <v>1312740</v>
      </c>
      <c r="J50" s="8">
        <v>156800</v>
      </c>
      <c r="K50" s="8">
        <v>4104450</v>
      </c>
      <c r="L50" s="8">
        <v>2179320</v>
      </c>
      <c r="M50" s="8">
        <f t="shared" si="22"/>
        <v>23742690</v>
      </c>
      <c r="N50" s="9"/>
    </row>
    <row r="51" spans="1:14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8">
        <f t="shared" si="22"/>
        <v>0</v>
      </c>
      <c r="N51" s="9"/>
    </row>
    <row r="52" spans="1:14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8">
        <f t="shared" si="22"/>
        <v>0</v>
      </c>
      <c r="N52" s="9"/>
    </row>
    <row r="53" spans="1:14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8">
        <f t="shared" si="22"/>
        <v>0</v>
      </c>
      <c r="N53" s="9"/>
    </row>
    <row r="54" spans="1:14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8">
        <f t="shared" si="22"/>
        <v>0</v>
      </c>
      <c r="N54" s="9"/>
    </row>
    <row r="55" spans="1:14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8">
        <f t="shared" si="22"/>
        <v>0</v>
      </c>
      <c r="N55" s="9"/>
    </row>
    <row r="56" spans="1:14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8">
        <f t="shared" si="22"/>
        <v>0</v>
      </c>
      <c r="N56" s="9"/>
    </row>
    <row r="57" spans="1:14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8">
        <f t="shared" si="22"/>
        <v>0</v>
      </c>
      <c r="N57" s="9"/>
    </row>
    <row r="58" spans="1:14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8">
        <f t="shared" si="22"/>
        <v>0</v>
      </c>
      <c r="N58" s="9"/>
    </row>
    <row r="59" spans="1:14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8">
        <f t="shared" si="22"/>
        <v>0</v>
      </c>
      <c r="N59" s="9"/>
    </row>
    <row r="60" spans="1:14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44616</v>
      </c>
      <c r="F60" s="10">
        <v>319310</v>
      </c>
      <c r="G60" s="10">
        <v>349743</v>
      </c>
      <c r="H60" s="10">
        <v>68783</v>
      </c>
      <c r="I60" s="10">
        <v>55198</v>
      </c>
      <c r="J60" s="10">
        <v>7840</v>
      </c>
      <c r="K60" s="10">
        <v>205222.5</v>
      </c>
      <c r="L60" s="10">
        <v>108966</v>
      </c>
      <c r="M60" s="8">
        <f t="shared" si="22"/>
        <v>1159678.5</v>
      </c>
      <c r="N60" s="9"/>
    </row>
    <row r="61" spans="1:14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8">
        <f t="shared" si="22"/>
        <v>0</v>
      </c>
      <c r="N61" s="9"/>
    </row>
    <row r="62" spans="1:14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8">
        <f t="shared" si="22"/>
        <v>0</v>
      </c>
      <c r="N62" s="9"/>
    </row>
    <row r="63" spans="1:14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8">
        <f t="shared" si="22"/>
        <v>0</v>
      </c>
      <c r="N63" s="9"/>
    </row>
    <row r="64" spans="1:14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8">
        <f t="shared" si="22"/>
        <v>0</v>
      </c>
      <c r="N64" s="9"/>
    </row>
    <row r="65" spans="1:14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8">
        <f t="shared" si="22"/>
        <v>0</v>
      </c>
      <c r="N65" s="9"/>
    </row>
    <row r="66" spans="1:14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8">
        <f t="shared" si="22"/>
        <v>0</v>
      </c>
      <c r="N66" s="9"/>
    </row>
    <row r="67" spans="1:14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8">
        <f t="shared" si="22"/>
        <v>0</v>
      </c>
      <c r="N67" s="9"/>
    </row>
    <row r="68" spans="1:14">
      <c r="A68" s="5" t="s">
        <v>176</v>
      </c>
      <c r="B68" s="6" t="s">
        <v>183</v>
      </c>
      <c r="C68" s="6"/>
      <c r="D68" s="7"/>
      <c r="E68" s="8">
        <f>E69</f>
        <v>12000</v>
      </c>
      <c r="F68" s="8">
        <f t="shared" ref="F68:L68" si="29">F69</f>
        <v>57200</v>
      </c>
      <c r="G68" s="8">
        <f t="shared" si="29"/>
        <v>60400</v>
      </c>
      <c r="H68" s="8">
        <f t="shared" si="29"/>
        <v>17200</v>
      </c>
      <c r="I68" s="8">
        <f t="shared" si="29"/>
        <v>14400</v>
      </c>
      <c r="J68" s="8">
        <f t="shared" si="29"/>
        <v>2800</v>
      </c>
      <c r="K68" s="8">
        <f t="shared" si="29"/>
        <v>47200</v>
      </c>
      <c r="L68" s="8">
        <f t="shared" si="29"/>
        <v>23600</v>
      </c>
      <c r="M68" s="8">
        <f t="shared" si="22"/>
        <v>234800</v>
      </c>
      <c r="N68" s="9"/>
    </row>
    <row r="69" spans="1:14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12000</v>
      </c>
      <c r="F69" s="8">
        <f t="shared" ref="F69:L69" si="30">F93*400</f>
        <v>57200</v>
      </c>
      <c r="G69" s="8">
        <f t="shared" si="30"/>
        <v>60400</v>
      </c>
      <c r="H69" s="8">
        <f t="shared" si="30"/>
        <v>17200</v>
      </c>
      <c r="I69" s="8">
        <f t="shared" si="30"/>
        <v>14400</v>
      </c>
      <c r="J69" s="8">
        <f t="shared" si="30"/>
        <v>2800</v>
      </c>
      <c r="K69" s="8">
        <f t="shared" si="30"/>
        <v>47200</v>
      </c>
      <c r="L69" s="8">
        <f t="shared" si="30"/>
        <v>23600</v>
      </c>
      <c r="M69" s="8">
        <f t="shared" si="22"/>
        <v>234800</v>
      </c>
      <c r="N69" s="9"/>
    </row>
    <row r="70" spans="1:14">
      <c r="A70" s="5" t="s">
        <v>180</v>
      </c>
      <c r="B70" s="6" t="s">
        <v>188</v>
      </c>
      <c r="C70" s="6"/>
      <c r="D70" s="7" t="s">
        <v>28</v>
      </c>
      <c r="E70" s="8">
        <f>E71</f>
        <v>64068.6</v>
      </c>
      <c r="F70" s="8">
        <f t="shared" ref="F70:L70" si="31">F71</f>
        <v>281524.05</v>
      </c>
      <c r="G70" s="8">
        <f t="shared" si="31"/>
        <v>436567.5</v>
      </c>
      <c r="H70" s="8">
        <f t="shared" si="31"/>
        <v>162034.5</v>
      </c>
      <c r="I70" s="8">
        <f t="shared" si="31"/>
        <v>97749.75</v>
      </c>
      <c r="J70" s="8">
        <f t="shared" si="31"/>
        <v>33240</v>
      </c>
      <c r="K70" s="8">
        <f t="shared" si="31"/>
        <v>174225</v>
      </c>
      <c r="L70" s="8">
        <f t="shared" si="31"/>
        <v>117936.3</v>
      </c>
      <c r="M70" s="8">
        <f t="shared" si="22"/>
        <v>1367345.7</v>
      </c>
      <c r="N70" s="9"/>
    </row>
    <row r="71" spans="1:14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64068.6</v>
      </c>
      <c r="F71" s="8">
        <f t="shared" ref="F71:L71" si="32">F105*15</f>
        <v>281524.05</v>
      </c>
      <c r="G71" s="8">
        <f t="shared" si="32"/>
        <v>436567.5</v>
      </c>
      <c r="H71" s="8">
        <f t="shared" si="32"/>
        <v>162034.5</v>
      </c>
      <c r="I71" s="8">
        <f t="shared" si="32"/>
        <v>97749.75</v>
      </c>
      <c r="J71" s="8">
        <f t="shared" si="32"/>
        <v>33240</v>
      </c>
      <c r="K71" s="8">
        <f t="shared" si="32"/>
        <v>174225</v>
      </c>
      <c r="L71" s="8">
        <f t="shared" si="32"/>
        <v>117936.3</v>
      </c>
      <c r="M71" s="8">
        <f t="shared" si="22"/>
        <v>1367345.7</v>
      </c>
      <c r="N71" s="9"/>
    </row>
    <row r="72" spans="1:14">
      <c r="A72" s="5" t="s">
        <v>184</v>
      </c>
      <c r="B72" s="6" t="s">
        <v>193</v>
      </c>
      <c r="C72" s="6"/>
      <c r="D72" s="7" t="s">
        <v>28</v>
      </c>
      <c r="E72" s="8">
        <f>E73</f>
        <v>23898.400000000001</v>
      </c>
      <c r="F72" s="8">
        <f t="shared" ref="F72:L72" si="33">F73</f>
        <v>144000</v>
      </c>
      <c r="G72" s="8">
        <f t="shared" si="33"/>
        <v>100900.8</v>
      </c>
      <c r="H72" s="8">
        <f t="shared" si="33"/>
        <v>50073.599999999999</v>
      </c>
      <c r="I72" s="8">
        <f t="shared" si="33"/>
        <v>37600</v>
      </c>
      <c r="J72" s="8">
        <f t="shared" si="33"/>
        <v>50016</v>
      </c>
      <c r="K72" s="8">
        <f t="shared" si="33"/>
        <v>96000</v>
      </c>
      <c r="L72" s="8">
        <f t="shared" si="33"/>
        <v>33100</v>
      </c>
      <c r="M72" s="8">
        <f t="shared" si="22"/>
        <v>535588.80000000005</v>
      </c>
      <c r="N72" s="9"/>
    </row>
    <row r="73" spans="1:14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23898.400000000001</v>
      </c>
      <c r="F73" s="8">
        <f t="shared" ref="F73:L73" si="34">F106*8</f>
        <v>144000</v>
      </c>
      <c r="G73" s="8">
        <f t="shared" si="34"/>
        <v>100900.8</v>
      </c>
      <c r="H73" s="8">
        <f t="shared" si="34"/>
        <v>50073.599999999999</v>
      </c>
      <c r="I73" s="8">
        <f t="shared" si="34"/>
        <v>37600</v>
      </c>
      <c r="J73" s="8">
        <f t="shared" si="34"/>
        <v>50016</v>
      </c>
      <c r="K73" s="8">
        <f t="shared" si="34"/>
        <v>96000</v>
      </c>
      <c r="L73" s="8">
        <f t="shared" si="34"/>
        <v>33100</v>
      </c>
      <c r="M73" s="8">
        <f t="shared" si="22"/>
        <v>535588.80000000005</v>
      </c>
      <c r="N73" s="9"/>
    </row>
    <row r="74" spans="1:14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 t="shared" ref="F74:L74" si="35">F75</f>
        <v>0</v>
      </c>
      <c r="G74" s="8">
        <f t="shared" si="35"/>
        <v>0</v>
      </c>
      <c r="H74" s="8">
        <f t="shared" si="35"/>
        <v>0</v>
      </c>
      <c r="I74" s="8">
        <f t="shared" si="35"/>
        <v>0</v>
      </c>
      <c r="J74" s="8">
        <f t="shared" si="35"/>
        <v>0</v>
      </c>
      <c r="K74" s="8">
        <f t="shared" si="35"/>
        <v>0</v>
      </c>
      <c r="L74" s="8">
        <f t="shared" si="35"/>
        <v>0</v>
      </c>
      <c r="M74" s="8">
        <f t="shared" si="22"/>
        <v>0</v>
      </c>
      <c r="N74" s="9"/>
    </row>
    <row r="75" spans="1:14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8">
        <f t="shared" si="22"/>
        <v>0</v>
      </c>
      <c r="N75" s="9"/>
    </row>
    <row r="76" spans="1:14">
      <c r="A76" s="5" t="s">
        <v>194</v>
      </c>
      <c r="B76" s="6" t="s">
        <v>202</v>
      </c>
      <c r="C76" s="6"/>
      <c r="D76" s="7" t="s">
        <v>28</v>
      </c>
      <c r="E76" s="8">
        <f>E77</f>
        <v>129600</v>
      </c>
      <c r="F76" s="8">
        <f t="shared" ref="F76:L76" si="36">F77</f>
        <v>617760</v>
      </c>
      <c r="G76" s="8">
        <f t="shared" si="36"/>
        <v>652320</v>
      </c>
      <c r="H76" s="8">
        <f t="shared" si="36"/>
        <v>185760</v>
      </c>
      <c r="I76" s="8">
        <f t="shared" si="36"/>
        <v>155520</v>
      </c>
      <c r="J76" s="8">
        <f t="shared" si="36"/>
        <v>30240</v>
      </c>
      <c r="K76" s="8">
        <f t="shared" si="36"/>
        <v>509760</v>
      </c>
      <c r="L76" s="8">
        <f t="shared" si="36"/>
        <v>254880</v>
      </c>
      <c r="M76" s="8">
        <f t="shared" si="22"/>
        <v>2535840</v>
      </c>
      <c r="N76" s="9"/>
    </row>
    <row r="77" spans="1:14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129600</v>
      </c>
      <c r="F77" s="8">
        <f t="shared" ref="F77:L77" si="37">F93*4320</f>
        <v>617760</v>
      </c>
      <c r="G77" s="8">
        <f t="shared" si="37"/>
        <v>652320</v>
      </c>
      <c r="H77" s="8">
        <f t="shared" si="37"/>
        <v>185760</v>
      </c>
      <c r="I77" s="8">
        <f t="shared" si="37"/>
        <v>155520</v>
      </c>
      <c r="J77" s="8">
        <f t="shared" si="37"/>
        <v>30240</v>
      </c>
      <c r="K77" s="8">
        <f t="shared" si="37"/>
        <v>509760</v>
      </c>
      <c r="L77" s="8">
        <f t="shared" si="37"/>
        <v>254880</v>
      </c>
      <c r="M77" s="8">
        <f t="shared" si="22"/>
        <v>2535840</v>
      </c>
      <c r="N77" s="9"/>
    </row>
    <row r="78" spans="1:14">
      <c r="A78" s="5" t="s">
        <v>199</v>
      </c>
      <c r="B78" s="6" t="s">
        <v>207</v>
      </c>
      <c r="C78" s="6"/>
      <c r="D78" s="7" t="s">
        <v>28</v>
      </c>
      <c r="E78" s="8">
        <f>E79</f>
        <v>118755.43</v>
      </c>
      <c r="F78" s="8">
        <f t="shared" ref="F78:L78" si="38">F79</f>
        <v>661004.56999999995</v>
      </c>
      <c r="G78" s="8">
        <f t="shared" si="38"/>
        <v>669202.29</v>
      </c>
      <c r="H78" s="8">
        <f t="shared" si="38"/>
        <v>153459.43</v>
      </c>
      <c r="I78" s="8">
        <f t="shared" si="38"/>
        <v>140722.29</v>
      </c>
      <c r="J78" s="8">
        <f t="shared" si="38"/>
        <v>31433.14</v>
      </c>
      <c r="K78" s="8">
        <f t="shared" si="38"/>
        <v>537644.56999999995</v>
      </c>
      <c r="L78" s="8">
        <f t="shared" si="38"/>
        <v>239612.57</v>
      </c>
      <c r="M78" s="8">
        <f t="shared" si="22"/>
        <v>2551834.2899999996</v>
      </c>
      <c r="N78" s="9"/>
    </row>
    <row r="79" spans="1:14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118755.43</v>
      </c>
      <c r="F79" s="8">
        <f t="shared" ref="F79:L79" si="39">ROUND(F28/0.07*0.02,2)</f>
        <v>661004.56999999995</v>
      </c>
      <c r="G79" s="8">
        <f t="shared" si="39"/>
        <v>669202.29</v>
      </c>
      <c r="H79" s="8">
        <f t="shared" si="39"/>
        <v>153459.43</v>
      </c>
      <c r="I79" s="8">
        <f t="shared" si="39"/>
        <v>140722.29</v>
      </c>
      <c r="J79" s="8">
        <f t="shared" si="39"/>
        <v>31433.14</v>
      </c>
      <c r="K79" s="8">
        <f t="shared" si="39"/>
        <v>537644.56999999995</v>
      </c>
      <c r="L79" s="8">
        <f t="shared" si="39"/>
        <v>239612.57</v>
      </c>
      <c r="M79" s="8">
        <f t="shared" si="22"/>
        <v>2551834.2899999996</v>
      </c>
      <c r="N79" s="9"/>
    </row>
    <row r="80" spans="1:14">
      <c r="A80" s="5" t="s">
        <v>203</v>
      </c>
      <c r="B80" s="6" t="s">
        <v>211</v>
      </c>
      <c r="C80" s="6"/>
      <c r="D80" s="7" t="s">
        <v>28</v>
      </c>
      <c r="E80" s="8">
        <f>E81</f>
        <v>0</v>
      </c>
      <c r="F80" s="8">
        <f t="shared" ref="F80:L80" si="40">F81</f>
        <v>32000</v>
      </c>
      <c r="G80" s="8">
        <f t="shared" si="40"/>
        <v>64000</v>
      </c>
      <c r="H80" s="8">
        <f t="shared" si="40"/>
        <v>0</v>
      </c>
      <c r="I80" s="8">
        <f t="shared" si="40"/>
        <v>0</v>
      </c>
      <c r="J80" s="8">
        <f t="shared" si="40"/>
        <v>0</v>
      </c>
      <c r="K80" s="8">
        <f t="shared" si="40"/>
        <v>32000</v>
      </c>
      <c r="L80" s="8">
        <f t="shared" si="40"/>
        <v>0</v>
      </c>
      <c r="M80" s="8">
        <f t="shared" si="22"/>
        <v>128000</v>
      </c>
      <c r="N80" s="9"/>
    </row>
    <row r="81" spans="1:14" ht="33.75">
      <c r="A81" s="5" t="s">
        <v>206</v>
      </c>
      <c r="B81" s="6" t="s">
        <v>213</v>
      </c>
      <c r="C81" s="6" t="s">
        <v>35</v>
      </c>
      <c r="D81" s="20" t="s">
        <v>214</v>
      </c>
      <c r="E81" s="10"/>
      <c r="F81" s="10">
        <v>32000</v>
      </c>
      <c r="G81" s="10">
        <v>64000</v>
      </c>
      <c r="H81" s="10"/>
      <c r="I81" s="10"/>
      <c r="J81" s="10"/>
      <c r="K81" s="10">
        <v>32000</v>
      </c>
      <c r="L81" s="10"/>
      <c r="M81" s="8">
        <f t="shared" si="22"/>
        <v>128000</v>
      </c>
      <c r="N81" s="9"/>
    </row>
    <row r="82" spans="1:14">
      <c r="A82" s="5" t="s">
        <v>208</v>
      </c>
      <c r="B82" s="6" t="s">
        <v>216</v>
      </c>
      <c r="C82" s="6"/>
      <c r="D82" s="7" t="s">
        <v>28</v>
      </c>
      <c r="E82" s="8">
        <f>E83+E86+E89</f>
        <v>42480</v>
      </c>
      <c r="F82" s="8">
        <f t="shared" ref="F82:L82" si="41">F83+F86+F89</f>
        <v>797680</v>
      </c>
      <c r="G82" s="8">
        <f t="shared" si="41"/>
        <v>575440</v>
      </c>
      <c r="H82" s="8">
        <f t="shared" si="41"/>
        <v>9440</v>
      </c>
      <c r="I82" s="8">
        <f t="shared" si="41"/>
        <v>66080</v>
      </c>
      <c r="J82" s="8">
        <f t="shared" si="41"/>
        <v>23600</v>
      </c>
      <c r="K82" s="8">
        <f t="shared" si="41"/>
        <v>396480</v>
      </c>
      <c r="L82" s="8">
        <f t="shared" si="41"/>
        <v>56640</v>
      </c>
      <c r="M82" s="8">
        <f t="shared" si="22"/>
        <v>1967840</v>
      </c>
      <c r="N82" s="9"/>
    </row>
    <row r="83" spans="1:14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 t="shared" ref="F83:L83" si="42">F84+F85</f>
        <v>0</v>
      </c>
      <c r="G83" s="8">
        <f t="shared" si="42"/>
        <v>4320</v>
      </c>
      <c r="H83" s="8">
        <f t="shared" si="42"/>
        <v>0</v>
      </c>
      <c r="I83" s="8">
        <f t="shared" si="42"/>
        <v>0</v>
      </c>
      <c r="J83" s="8">
        <f t="shared" si="42"/>
        <v>0</v>
      </c>
      <c r="K83" s="8">
        <f t="shared" si="42"/>
        <v>0</v>
      </c>
      <c r="L83" s="8">
        <f t="shared" si="42"/>
        <v>0</v>
      </c>
      <c r="M83" s="8">
        <f t="shared" si="22"/>
        <v>4320</v>
      </c>
      <c r="N83" s="9"/>
    </row>
    <row r="84" spans="1:14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8">
        <f t="shared" si="22"/>
        <v>0</v>
      </c>
      <c r="N84" s="15"/>
    </row>
    <row r="85" spans="1:14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>
        <v>4320</v>
      </c>
      <c r="H85" s="16"/>
      <c r="I85" s="16"/>
      <c r="J85" s="16"/>
      <c r="K85" s="16"/>
      <c r="L85" s="16"/>
      <c r="M85" s="8">
        <f t="shared" si="22"/>
        <v>4320</v>
      </c>
      <c r="N85" s="15"/>
    </row>
    <row r="86" spans="1:14">
      <c r="A86" s="5" t="s">
        <v>217</v>
      </c>
      <c r="B86" s="6" t="s">
        <v>225</v>
      </c>
      <c r="C86" s="6"/>
      <c r="D86" s="7" t="s">
        <v>28</v>
      </c>
      <c r="E86" s="8">
        <f>E87+E88</f>
        <v>42480</v>
      </c>
      <c r="F86" s="8">
        <f t="shared" ref="F86:L86" si="43">F87+F88</f>
        <v>797680</v>
      </c>
      <c r="G86" s="8">
        <f t="shared" si="43"/>
        <v>571120</v>
      </c>
      <c r="H86" s="8">
        <f t="shared" si="43"/>
        <v>9440</v>
      </c>
      <c r="I86" s="8">
        <f t="shared" si="43"/>
        <v>66080</v>
      </c>
      <c r="J86" s="8">
        <f t="shared" si="43"/>
        <v>23600</v>
      </c>
      <c r="K86" s="8">
        <f t="shared" si="43"/>
        <v>396480</v>
      </c>
      <c r="L86" s="8">
        <f t="shared" si="43"/>
        <v>56640</v>
      </c>
      <c r="M86" s="8">
        <f t="shared" si="22"/>
        <v>1963520</v>
      </c>
      <c r="N86" s="9"/>
    </row>
    <row r="87" spans="1:14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3600</v>
      </c>
      <c r="F87" s="8">
        <f t="shared" ref="F87:L87" si="44">F104*400</f>
        <v>67600</v>
      </c>
      <c r="G87" s="8">
        <f t="shared" si="44"/>
        <v>48400</v>
      </c>
      <c r="H87" s="8">
        <f t="shared" si="44"/>
        <v>800</v>
      </c>
      <c r="I87" s="8">
        <f t="shared" si="44"/>
        <v>5600</v>
      </c>
      <c r="J87" s="8">
        <f t="shared" si="44"/>
        <v>2000</v>
      </c>
      <c r="K87" s="8">
        <f t="shared" si="44"/>
        <v>33600</v>
      </c>
      <c r="L87" s="8">
        <f t="shared" si="44"/>
        <v>4800</v>
      </c>
      <c r="M87" s="8">
        <f t="shared" si="22"/>
        <v>166400</v>
      </c>
      <c r="N87" s="9"/>
    </row>
    <row r="88" spans="1:14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38880</v>
      </c>
      <c r="F88" s="8">
        <f t="shared" ref="F88:L88" si="45">F104*4320</f>
        <v>730080</v>
      </c>
      <c r="G88" s="8">
        <f t="shared" si="45"/>
        <v>522720</v>
      </c>
      <c r="H88" s="8">
        <f t="shared" si="45"/>
        <v>8640</v>
      </c>
      <c r="I88" s="8">
        <f t="shared" si="45"/>
        <v>60480</v>
      </c>
      <c r="J88" s="8">
        <f t="shared" si="45"/>
        <v>21600</v>
      </c>
      <c r="K88" s="8">
        <f t="shared" si="45"/>
        <v>362880</v>
      </c>
      <c r="L88" s="8">
        <f t="shared" si="45"/>
        <v>51840</v>
      </c>
      <c r="M88" s="8">
        <f t="shared" si="22"/>
        <v>1797120</v>
      </c>
      <c r="N88" s="9"/>
    </row>
    <row r="89" spans="1:14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8">
        <f t="shared" si="22"/>
        <v>0</v>
      </c>
      <c r="N89" s="15"/>
    </row>
    <row r="90" spans="1:14">
      <c r="A90" s="5" t="s">
        <v>226</v>
      </c>
      <c r="B90" s="6" t="s">
        <v>235</v>
      </c>
      <c r="C90" s="6"/>
      <c r="D90" s="7" t="s">
        <v>28</v>
      </c>
      <c r="E90" s="8">
        <f>E91</f>
        <v>32000</v>
      </c>
      <c r="F90" s="8">
        <f t="shared" ref="F90:L90" si="46">F91</f>
        <v>0</v>
      </c>
      <c r="G90" s="8">
        <f t="shared" si="46"/>
        <v>0</v>
      </c>
      <c r="H90" s="8">
        <f t="shared" si="46"/>
        <v>32000</v>
      </c>
      <c r="I90" s="8">
        <f t="shared" si="46"/>
        <v>32000</v>
      </c>
      <c r="J90" s="8">
        <f t="shared" si="46"/>
        <v>32000</v>
      </c>
      <c r="K90" s="8">
        <f t="shared" si="46"/>
        <v>0</v>
      </c>
      <c r="L90" s="8">
        <f t="shared" si="46"/>
        <v>32000</v>
      </c>
      <c r="M90" s="8">
        <f t="shared" ref="M90:M106" si="47">SUM(E90:L90)</f>
        <v>160000</v>
      </c>
      <c r="N90" s="9"/>
    </row>
    <row r="91" spans="1:14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>
        <v>32000</v>
      </c>
      <c r="F91" s="26"/>
      <c r="G91" s="26"/>
      <c r="H91" s="26">
        <v>32000</v>
      </c>
      <c r="I91" s="26">
        <v>32000</v>
      </c>
      <c r="J91" s="26">
        <v>32000</v>
      </c>
      <c r="K91" s="26"/>
      <c r="L91" s="26">
        <v>32000</v>
      </c>
      <c r="M91" s="8">
        <f t="shared" si="47"/>
        <v>160000</v>
      </c>
      <c r="N91" s="27"/>
    </row>
    <row r="92" spans="1:14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8">
        <f t="shared" si="47"/>
        <v>0</v>
      </c>
      <c r="N92" s="31"/>
    </row>
    <row r="93" spans="1:14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30</v>
      </c>
      <c r="F93" s="8">
        <f t="shared" ref="F93:L93" si="48">F94+F95+F96+F97</f>
        <v>143</v>
      </c>
      <c r="G93" s="8">
        <f t="shared" si="48"/>
        <v>151</v>
      </c>
      <c r="H93" s="8">
        <f t="shared" si="48"/>
        <v>43</v>
      </c>
      <c r="I93" s="8">
        <f t="shared" si="48"/>
        <v>36</v>
      </c>
      <c r="J93" s="8">
        <f t="shared" si="48"/>
        <v>7</v>
      </c>
      <c r="K93" s="8">
        <f t="shared" si="48"/>
        <v>118</v>
      </c>
      <c r="L93" s="8">
        <f t="shared" si="48"/>
        <v>59</v>
      </c>
      <c r="M93" s="8">
        <f t="shared" si="47"/>
        <v>587</v>
      </c>
      <c r="N93" s="9"/>
    </row>
    <row r="94" spans="1:14">
      <c r="A94" s="5" t="s">
        <v>236</v>
      </c>
      <c r="B94" s="32" t="s">
        <v>245</v>
      </c>
      <c r="C94" s="32"/>
      <c r="D94" s="15"/>
      <c r="E94" s="16"/>
      <c r="F94" s="16">
        <v>76</v>
      </c>
      <c r="G94" s="16">
        <v>68</v>
      </c>
      <c r="H94" s="16"/>
      <c r="I94" s="16"/>
      <c r="J94" s="16"/>
      <c r="K94" s="16">
        <v>54</v>
      </c>
      <c r="L94" s="16"/>
      <c r="M94" s="8">
        <f t="shared" si="47"/>
        <v>198</v>
      </c>
      <c r="N94" s="9"/>
    </row>
    <row r="95" spans="1:14">
      <c r="A95" s="5" t="s">
        <v>239</v>
      </c>
      <c r="B95" s="32" t="s">
        <v>247</v>
      </c>
      <c r="C95" s="32"/>
      <c r="D95" s="7"/>
      <c r="E95" s="10"/>
      <c r="F95" s="10">
        <v>67</v>
      </c>
      <c r="G95" s="10">
        <v>83</v>
      </c>
      <c r="H95" s="10"/>
      <c r="I95" s="10"/>
      <c r="J95" s="10"/>
      <c r="K95" s="10">
        <v>64</v>
      </c>
      <c r="L95" s="10"/>
      <c r="M95" s="8">
        <f t="shared" si="47"/>
        <v>214</v>
      </c>
      <c r="N95" s="9"/>
    </row>
    <row r="96" spans="1:14">
      <c r="A96" s="5" t="s">
        <v>241</v>
      </c>
      <c r="B96" s="32" t="s">
        <v>249</v>
      </c>
      <c r="C96" s="32"/>
      <c r="D96" s="15"/>
      <c r="E96" s="16">
        <v>30</v>
      </c>
      <c r="F96" s="16"/>
      <c r="G96" s="16"/>
      <c r="H96" s="16">
        <v>43</v>
      </c>
      <c r="I96" s="16">
        <v>36</v>
      </c>
      <c r="J96" s="16"/>
      <c r="K96" s="16"/>
      <c r="L96" s="16">
        <v>59</v>
      </c>
      <c r="M96" s="8">
        <f t="shared" si="47"/>
        <v>168</v>
      </c>
      <c r="N96" s="9"/>
    </row>
    <row r="97" spans="1:14">
      <c r="A97" s="5" t="s">
        <v>244</v>
      </c>
      <c r="B97" s="32" t="s">
        <v>251</v>
      </c>
      <c r="C97" s="32"/>
      <c r="D97" s="15"/>
      <c r="E97" s="16"/>
      <c r="F97" s="16"/>
      <c r="G97" s="16"/>
      <c r="H97" s="16"/>
      <c r="I97" s="16"/>
      <c r="J97" s="16">
        <v>7</v>
      </c>
      <c r="K97" s="16"/>
      <c r="L97" s="16"/>
      <c r="M97" s="8">
        <f t="shared" si="47"/>
        <v>7</v>
      </c>
      <c r="N97" s="9"/>
    </row>
    <row r="98" spans="1:14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312</v>
      </c>
      <c r="F98" s="8">
        <f t="shared" ref="F98:L98" si="49">F99+F100+F101+F102</f>
        <v>1950</v>
      </c>
      <c r="G98" s="8">
        <f t="shared" si="49"/>
        <v>2138</v>
      </c>
      <c r="H98" s="8">
        <f t="shared" si="49"/>
        <v>481</v>
      </c>
      <c r="I98" s="8">
        <f t="shared" si="49"/>
        <v>386</v>
      </c>
      <c r="J98" s="8">
        <f t="shared" si="49"/>
        <v>0</v>
      </c>
      <c r="K98" s="8">
        <f t="shared" si="49"/>
        <v>1253</v>
      </c>
      <c r="L98" s="8">
        <f t="shared" si="49"/>
        <v>762</v>
      </c>
      <c r="M98" s="8">
        <f t="shared" si="47"/>
        <v>7282</v>
      </c>
      <c r="N98" s="9"/>
    </row>
    <row r="99" spans="1:14">
      <c r="A99" s="5" t="s">
        <v>248</v>
      </c>
      <c r="B99" s="32" t="s">
        <v>245</v>
      </c>
      <c r="C99" s="32"/>
      <c r="D99" s="15"/>
      <c r="E99" s="16"/>
      <c r="F99" s="16">
        <v>905</v>
      </c>
      <c r="G99" s="16">
        <v>942</v>
      </c>
      <c r="H99" s="16"/>
      <c r="I99" s="16"/>
      <c r="J99" s="16"/>
      <c r="K99" s="16">
        <v>588</v>
      </c>
      <c r="L99" s="16"/>
      <c r="M99" s="8">
        <f t="shared" si="47"/>
        <v>2435</v>
      </c>
      <c r="N99" s="9"/>
    </row>
    <row r="100" spans="1:14">
      <c r="A100" s="5" t="s">
        <v>250</v>
      </c>
      <c r="B100" s="32" t="s">
        <v>247</v>
      </c>
      <c r="C100" s="32"/>
      <c r="D100" s="7"/>
      <c r="E100" s="10"/>
      <c r="F100" s="10">
        <v>1045</v>
      </c>
      <c r="G100" s="10">
        <v>1196</v>
      </c>
      <c r="H100" s="10"/>
      <c r="I100" s="10"/>
      <c r="J100" s="10"/>
      <c r="K100" s="10">
        <v>665</v>
      </c>
      <c r="L100" s="10"/>
      <c r="M100" s="8">
        <f t="shared" si="47"/>
        <v>2906</v>
      </c>
      <c r="N100" s="9"/>
    </row>
    <row r="101" spans="1:14">
      <c r="A101" s="5" t="s">
        <v>252</v>
      </c>
      <c r="B101" s="32" t="s">
        <v>249</v>
      </c>
      <c r="C101" s="32"/>
      <c r="D101" s="15"/>
      <c r="E101" s="16">
        <v>312</v>
      </c>
      <c r="F101" s="16"/>
      <c r="G101" s="16"/>
      <c r="H101" s="16">
        <v>481</v>
      </c>
      <c r="I101" s="16">
        <v>386</v>
      </c>
      <c r="J101" s="16"/>
      <c r="K101" s="16"/>
      <c r="L101" s="16">
        <v>762</v>
      </c>
      <c r="M101" s="8">
        <f t="shared" si="47"/>
        <v>1941</v>
      </c>
      <c r="N101" s="9"/>
    </row>
    <row r="102" spans="1:14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8">
        <f t="shared" si="47"/>
        <v>0</v>
      </c>
      <c r="N102" s="9"/>
    </row>
    <row r="103" spans="1:14">
      <c r="A103" s="5" t="s">
        <v>256</v>
      </c>
      <c r="B103" s="6" t="s">
        <v>260</v>
      </c>
      <c r="C103" s="6"/>
      <c r="D103" s="20"/>
      <c r="E103" s="33"/>
      <c r="F103" s="33"/>
      <c r="G103" s="33">
        <v>1</v>
      </c>
      <c r="H103" s="33"/>
      <c r="I103" s="33"/>
      <c r="J103" s="33"/>
      <c r="K103" s="33"/>
      <c r="L103" s="33"/>
      <c r="M103" s="8">
        <f t="shared" si="47"/>
        <v>1</v>
      </c>
      <c r="N103" s="9"/>
    </row>
    <row r="104" spans="1:14">
      <c r="A104" s="5" t="s">
        <v>257</v>
      </c>
      <c r="B104" s="6" t="s">
        <v>261</v>
      </c>
      <c r="C104" s="6"/>
      <c r="D104" s="7"/>
      <c r="E104" s="10">
        <v>9</v>
      </c>
      <c r="F104" s="10">
        <v>169</v>
      </c>
      <c r="G104" s="10">
        <v>121</v>
      </c>
      <c r="H104" s="10">
        <v>2</v>
      </c>
      <c r="I104" s="10">
        <v>14</v>
      </c>
      <c r="J104" s="10">
        <v>5</v>
      </c>
      <c r="K104" s="10">
        <v>84</v>
      </c>
      <c r="L104" s="10">
        <v>12</v>
      </c>
      <c r="M104" s="8">
        <f t="shared" si="47"/>
        <v>416</v>
      </c>
      <c r="N104" s="9"/>
    </row>
    <row r="105" spans="1:14">
      <c r="A105" s="5" t="s">
        <v>258</v>
      </c>
      <c r="B105" s="32" t="s">
        <v>262</v>
      </c>
      <c r="C105" s="32"/>
      <c r="D105" s="20"/>
      <c r="E105" s="10">
        <v>4271.24</v>
      </c>
      <c r="F105" s="10">
        <v>18768.27</v>
      </c>
      <c r="G105" s="10">
        <v>29104.5</v>
      </c>
      <c r="H105" s="10">
        <v>10802.3</v>
      </c>
      <c r="I105" s="10">
        <v>6516.65</v>
      </c>
      <c r="J105" s="10">
        <v>2216</v>
      </c>
      <c r="K105" s="10">
        <v>11615</v>
      </c>
      <c r="L105" s="10">
        <v>7862.42</v>
      </c>
      <c r="M105" s="8">
        <f t="shared" si="47"/>
        <v>91156.37999999999</v>
      </c>
      <c r="N105" s="9"/>
    </row>
    <row r="106" spans="1:14">
      <c r="A106" s="5" t="s">
        <v>259</v>
      </c>
      <c r="B106" s="32" t="s">
        <v>263</v>
      </c>
      <c r="C106" s="32"/>
      <c r="D106" s="20"/>
      <c r="E106" s="10">
        <v>2987.3</v>
      </c>
      <c r="F106" s="10">
        <v>18000</v>
      </c>
      <c r="G106" s="10">
        <v>12612.6</v>
      </c>
      <c r="H106" s="10">
        <v>6259.2</v>
      </c>
      <c r="I106" s="10">
        <v>4700</v>
      </c>
      <c r="J106" s="10">
        <v>6252</v>
      </c>
      <c r="K106" s="10">
        <v>12000</v>
      </c>
      <c r="L106" s="10">
        <v>4137.5</v>
      </c>
      <c r="M106" s="8">
        <f t="shared" si="47"/>
        <v>66948.600000000006</v>
      </c>
      <c r="N106" s="9"/>
    </row>
    <row r="107" spans="1:14">
      <c r="E107" s="1">
        <f t="shared" ref="E107:M107" si="50">E4/E93</f>
        <v>327034.51833333337</v>
      </c>
      <c r="F107" s="1">
        <f t="shared" si="50"/>
        <v>362543.11699300702</v>
      </c>
      <c r="G107" s="1">
        <f t="shared" si="50"/>
        <v>354415.43357615895</v>
      </c>
      <c r="H107" s="1">
        <f t="shared" si="50"/>
        <v>308345.85279069765</v>
      </c>
      <c r="I107" s="1">
        <f t="shared" si="50"/>
        <v>316129.58416666673</v>
      </c>
      <c r="J107" s="1">
        <f t="shared" si="50"/>
        <v>358011.67428571422</v>
      </c>
      <c r="K107" s="1">
        <f t="shared" si="50"/>
        <v>360581.79364406777</v>
      </c>
      <c r="L107" s="1">
        <f t="shared" si="50"/>
        <v>322789.89067796612</v>
      </c>
      <c r="M107" s="1">
        <f t="shared" si="50"/>
        <v>347377.01085178874</v>
      </c>
    </row>
  </sheetData>
  <protectedRanges>
    <protectedRange password="E9C1" sqref="D28 M21:N26 N20 M4:N9 N10 N27 A2:N3 A4:D5 M11:N19 B6:D26 M28:N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N1"/>
  </mergeCells>
  <phoneticPr fontId="3" type="noConversion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07"/>
  <sheetViews>
    <sheetView workbookViewId="0">
      <pane xSplit="4" ySplit="2" topLeftCell="N77" activePane="bottomRight" state="frozen"/>
      <selection pane="topRight" activeCell="E1" sqref="E1"/>
      <selection pane="bottomLeft" activeCell="A3" sqref="A3"/>
      <selection pane="bottomRight" activeCell="T3" sqref="T3:T106"/>
    </sheetView>
  </sheetViews>
  <sheetFormatPr defaultColWidth="15.625" defaultRowHeight="11.25"/>
  <cols>
    <col min="1" max="1" width="4.625" style="69" customWidth="1"/>
    <col min="2" max="2" width="29.25" style="38" customWidth="1"/>
    <col min="3" max="3" width="13" style="38" customWidth="1"/>
    <col min="4" max="4" width="20" style="70" customWidth="1"/>
    <col min="5" max="16384" width="15.625" style="38"/>
  </cols>
  <sheetData>
    <row r="1" spans="1:21" ht="25.5">
      <c r="A1" s="348" t="s">
        <v>335</v>
      </c>
      <c r="B1" s="349"/>
      <c r="C1" s="349"/>
      <c r="D1" s="349"/>
      <c r="E1" s="349"/>
      <c r="F1" s="349"/>
      <c r="G1" s="349"/>
      <c r="H1" s="349"/>
      <c r="I1" s="349"/>
      <c r="J1" s="349"/>
      <c r="K1" s="349"/>
      <c r="L1" s="349"/>
      <c r="M1" s="349"/>
      <c r="N1" s="349"/>
      <c r="O1" s="349"/>
      <c r="P1" s="349"/>
      <c r="Q1" s="349"/>
      <c r="R1" s="349"/>
      <c r="S1" s="349"/>
      <c r="T1" s="349"/>
      <c r="U1" s="349"/>
    </row>
    <row r="2" spans="1:21" ht="30" customHeight="1">
      <c r="A2" s="39" t="s">
        <v>1</v>
      </c>
      <c r="B2" s="39" t="s">
        <v>2</v>
      </c>
      <c r="C2" s="39" t="s">
        <v>3</v>
      </c>
      <c r="D2" s="40" t="s">
        <v>4</v>
      </c>
      <c r="E2" s="40" t="s">
        <v>336</v>
      </c>
      <c r="F2" s="40" t="s">
        <v>337</v>
      </c>
      <c r="G2" s="40" t="s">
        <v>338</v>
      </c>
      <c r="H2" s="40" t="s">
        <v>339</v>
      </c>
      <c r="I2" s="40" t="s">
        <v>340</v>
      </c>
      <c r="J2" s="40" t="s">
        <v>341</v>
      </c>
      <c r="K2" s="40" t="s">
        <v>342</v>
      </c>
      <c r="L2" s="40" t="s">
        <v>343</v>
      </c>
      <c r="M2" s="40" t="s">
        <v>344</v>
      </c>
      <c r="N2" s="40" t="s">
        <v>345</v>
      </c>
      <c r="O2" s="40" t="s">
        <v>346</v>
      </c>
      <c r="P2" s="40" t="s">
        <v>275</v>
      </c>
      <c r="Q2" s="40" t="s">
        <v>347</v>
      </c>
      <c r="R2" s="40" t="s">
        <v>348</v>
      </c>
      <c r="S2" s="40" t="s">
        <v>349</v>
      </c>
      <c r="T2" s="40" t="s">
        <v>24</v>
      </c>
      <c r="U2" s="41" t="s">
        <v>25</v>
      </c>
    </row>
    <row r="3" spans="1:21">
      <c r="A3" s="42" t="s">
        <v>26</v>
      </c>
      <c r="B3" s="43" t="s">
        <v>27</v>
      </c>
      <c r="C3" s="43"/>
      <c r="D3" s="44" t="s">
        <v>28</v>
      </c>
      <c r="E3" s="45">
        <f t="shared" ref="E3:S3" si="0">E4+E30+E49</f>
        <v>47882168.390000001</v>
      </c>
      <c r="F3" s="45">
        <f t="shared" si="0"/>
        <v>31366177.720000003</v>
      </c>
      <c r="G3" s="45">
        <f t="shared" si="0"/>
        <v>32726365.490000002</v>
      </c>
      <c r="H3" s="45">
        <f t="shared" si="0"/>
        <v>37193079.609999999</v>
      </c>
      <c r="I3" s="45">
        <f t="shared" si="0"/>
        <v>80885878.409999996</v>
      </c>
      <c r="J3" s="45">
        <f t="shared" si="0"/>
        <v>20018077.23</v>
      </c>
      <c r="K3" s="45">
        <f t="shared" si="0"/>
        <v>21521577.839999996</v>
      </c>
      <c r="L3" s="45">
        <f t="shared" si="0"/>
        <v>17969619.739999998</v>
      </c>
      <c r="M3" s="45">
        <f t="shared" si="0"/>
        <v>15918493.17</v>
      </c>
      <c r="N3" s="45">
        <f t="shared" si="0"/>
        <v>16452030.860000003</v>
      </c>
      <c r="O3" s="45">
        <f t="shared" si="0"/>
        <v>56119752.979999997</v>
      </c>
      <c r="P3" s="45">
        <f t="shared" si="0"/>
        <v>2021099.07</v>
      </c>
      <c r="Q3" s="45">
        <f t="shared" si="0"/>
        <v>5172070.26</v>
      </c>
      <c r="R3" s="45">
        <f t="shared" si="0"/>
        <v>28369847.84</v>
      </c>
      <c r="S3" s="45">
        <f t="shared" si="0"/>
        <v>11071306.07</v>
      </c>
      <c r="T3" s="45">
        <f t="shared" ref="T3:T9" si="1">SUM(E3:S3)</f>
        <v>424687544.67999995</v>
      </c>
      <c r="U3" s="46"/>
    </row>
    <row r="4" spans="1:21">
      <c r="A4" s="42" t="s">
        <v>29</v>
      </c>
      <c r="B4" s="43" t="s">
        <v>30</v>
      </c>
      <c r="C4" s="43"/>
      <c r="D4" s="44" t="s">
        <v>28</v>
      </c>
      <c r="E4" s="45">
        <f t="shared" ref="E4:S4" si="2">E5+E8+E12+E15+E18+E20+E23+E25+E27+E28+E29</f>
        <v>41643540.100000001</v>
      </c>
      <c r="F4" s="45">
        <f t="shared" si="2"/>
        <v>27366814.010000002</v>
      </c>
      <c r="G4" s="45">
        <f t="shared" si="2"/>
        <v>28614486.780000001</v>
      </c>
      <c r="H4" s="45">
        <f t="shared" si="2"/>
        <v>32704291.039999999</v>
      </c>
      <c r="I4" s="45">
        <f t="shared" si="2"/>
        <v>67554896.519999996</v>
      </c>
      <c r="J4" s="45">
        <f t="shared" si="2"/>
        <v>17098965.289999999</v>
      </c>
      <c r="K4" s="45">
        <f t="shared" si="2"/>
        <v>18605143.099999998</v>
      </c>
      <c r="L4" s="45">
        <f t="shared" si="2"/>
        <v>15437463.08</v>
      </c>
      <c r="M4" s="45">
        <f t="shared" si="2"/>
        <v>13549872.279999999</v>
      </c>
      <c r="N4" s="45">
        <f t="shared" si="2"/>
        <v>14260526.490000002</v>
      </c>
      <c r="O4" s="45">
        <f t="shared" si="2"/>
        <v>48949641.769999996</v>
      </c>
      <c r="P4" s="45">
        <f t="shared" si="2"/>
        <v>1780815.07</v>
      </c>
      <c r="Q4" s="45">
        <f t="shared" si="2"/>
        <v>4081612.1199999996</v>
      </c>
      <c r="R4" s="45">
        <f t="shared" si="2"/>
        <v>24151915.140000001</v>
      </c>
      <c r="S4" s="45">
        <f t="shared" si="2"/>
        <v>9206966.4100000001</v>
      </c>
      <c r="T4" s="45">
        <f t="shared" si="1"/>
        <v>365006949.19999999</v>
      </c>
      <c r="U4" s="46"/>
    </row>
    <row r="5" spans="1:21">
      <c r="A5" s="42" t="s">
        <v>31</v>
      </c>
      <c r="B5" s="43" t="s">
        <v>32</v>
      </c>
      <c r="C5" s="43"/>
      <c r="D5" s="44" t="s">
        <v>28</v>
      </c>
      <c r="E5" s="45">
        <f>E6+E7</f>
        <v>5589264</v>
      </c>
      <c r="F5" s="45">
        <f>F6+F7</f>
        <v>3871248</v>
      </c>
      <c r="G5" s="45">
        <f t="shared" ref="G5:S5" si="3">G6+G7</f>
        <v>4116144</v>
      </c>
      <c r="H5" s="45">
        <f t="shared" si="3"/>
        <v>4447680</v>
      </c>
      <c r="I5" s="45">
        <f t="shared" si="3"/>
        <v>8591148</v>
      </c>
      <c r="J5" s="45">
        <f t="shared" si="3"/>
        <v>2024352</v>
      </c>
      <c r="K5" s="45">
        <f t="shared" si="3"/>
        <v>2542200</v>
      </c>
      <c r="L5" s="45">
        <f t="shared" si="3"/>
        <v>2159976</v>
      </c>
      <c r="M5" s="45">
        <f t="shared" si="3"/>
        <v>1716732</v>
      </c>
      <c r="N5" s="45">
        <f t="shared" si="3"/>
        <v>1862976</v>
      </c>
      <c r="O5" s="45">
        <f t="shared" si="3"/>
        <v>6124404</v>
      </c>
      <c r="P5" s="45">
        <f t="shared" si="3"/>
        <v>240012</v>
      </c>
      <c r="Q5" s="45">
        <f t="shared" si="3"/>
        <v>271716</v>
      </c>
      <c r="R5" s="45">
        <f t="shared" si="3"/>
        <v>3107700</v>
      </c>
      <c r="S5" s="45">
        <f t="shared" si="3"/>
        <v>1248132</v>
      </c>
      <c r="T5" s="45">
        <f t="shared" si="1"/>
        <v>47913684</v>
      </c>
      <c r="U5" s="46"/>
    </row>
    <row r="6" spans="1:21">
      <c r="A6" s="42" t="s">
        <v>33</v>
      </c>
      <c r="B6" s="43" t="s">
        <v>34</v>
      </c>
      <c r="C6" s="43" t="s">
        <v>35</v>
      </c>
      <c r="D6" s="44" t="s">
        <v>36</v>
      </c>
      <c r="E6" s="47">
        <f>263538*12</f>
        <v>3162456</v>
      </c>
      <c r="F6" s="47">
        <f>184166*12</f>
        <v>2209992</v>
      </c>
      <c r="G6" s="47">
        <f>180072*12</f>
        <v>2160864</v>
      </c>
      <c r="H6" s="47">
        <f>202040*12</f>
        <v>2424480</v>
      </c>
      <c r="I6" s="47">
        <f>447201*12</f>
        <v>5366412</v>
      </c>
      <c r="J6" s="47">
        <f>111641*12</f>
        <v>1339692</v>
      </c>
      <c r="K6" s="47">
        <f>123200*12</f>
        <v>1478400</v>
      </c>
      <c r="L6" s="47">
        <f>104512*12</f>
        <v>1254144</v>
      </c>
      <c r="M6" s="47">
        <f>90041*12</f>
        <v>1080492</v>
      </c>
      <c r="N6" s="47">
        <f>95190*12</f>
        <v>1142280</v>
      </c>
      <c r="O6" s="47">
        <f>310424*12</f>
        <v>3725088</v>
      </c>
      <c r="P6" s="47">
        <f>11132*12</f>
        <v>133584</v>
      </c>
      <c r="Q6" s="47">
        <f>14652*12</f>
        <v>175824</v>
      </c>
      <c r="R6" s="47">
        <f>156834*12</f>
        <v>1882008</v>
      </c>
      <c r="S6" s="47">
        <f>62018*12</f>
        <v>744216</v>
      </c>
      <c r="T6" s="45">
        <f t="shared" si="1"/>
        <v>28279932</v>
      </c>
      <c r="U6" s="48"/>
    </row>
    <row r="7" spans="1:21">
      <c r="A7" s="42" t="s">
        <v>37</v>
      </c>
      <c r="B7" s="43" t="s">
        <v>38</v>
      </c>
      <c r="C7" s="43" t="s">
        <v>35</v>
      </c>
      <c r="D7" s="44" t="s">
        <v>36</v>
      </c>
      <c r="E7" s="47">
        <f>202234*12</f>
        <v>2426808</v>
      </c>
      <c r="F7" s="47">
        <f>138438*12</f>
        <v>1661256</v>
      </c>
      <c r="G7" s="47">
        <f>162940*12</f>
        <v>1955280</v>
      </c>
      <c r="H7" s="47">
        <f>168600*12</f>
        <v>2023200</v>
      </c>
      <c r="I7" s="47">
        <f>268728*12</f>
        <v>3224736</v>
      </c>
      <c r="J7" s="47">
        <f>57055*12</f>
        <v>684660</v>
      </c>
      <c r="K7" s="47">
        <f>88650*12</f>
        <v>1063800</v>
      </c>
      <c r="L7" s="47">
        <f>75486*12</f>
        <v>905832</v>
      </c>
      <c r="M7" s="47">
        <f>53020*12</f>
        <v>636240</v>
      </c>
      <c r="N7" s="47">
        <f>60058*12</f>
        <v>720696</v>
      </c>
      <c r="O7" s="47">
        <f>199943*12</f>
        <v>2399316</v>
      </c>
      <c r="P7" s="47">
        <f>8869*12</f>
        <v>106428</v>
      </c>
      <c r="Q7" s="47">
        <f>7991*12</f>
        <v>95892</v>
      </c>
      <c r="R7" s="47">
        <f>102141*12</f>
        <v>1225692</v>
      </c>
      <c r="S7" s="47">
        <f>41993*12</f>
        <v>503916</v>
      </c>
      <c r="T7" s="45">
        <f t="shared" si="1"/>
        <v>19633752</v>
      </c>
      <c r="U7" s="46"/>
    </row>
    <row r="8" spans="1:21">
      <c r="A8" s="42" t="s">
        <v>39</v>
      </c>
      <c r="B8" s="43" t="s">
        <v>40</v>
      </c>
      <c r="C8" s="43"/>
      <c r="D8" s="44" t="s">
        <v>28</v>
      </c>
      <c r="E8" s="45">
        <f>E9+E10</f>
        <v>625692</v>
      </c>
      <c r="F8" s="45">
        <f>F9+F10</f>
        <v>406944</v>
      </c>
      <c r="G8" s="45">
        <f t="shared" ref="G8:S8" si="4">G9+G10</f>
        <v>429576</v>
      </c>
      <c r="H8" s="45">
        <f t="shared" si="4"/>
        <v>502956</v>
      </c>
      <c r="I8" s="45">
        <f t="shared" si="4"/>
        <v>1065684</v>
      </c>
      <c r="J8" s="45">
        <f t="shared" si="4"/>
        <v>281808</v>
      </c>
      <c r="K8" s="45">
        <f t="shared" si="4"/>
        <v>305328</v>
      </c>
      <c r="L8" s="45">
        <f t="shared" si="4"/>
        <v>256764</v>
      </c>
      <c r="M8" s="45">
        <f t="shared" si="4"/>
        <v>229176</v>
      </c>
      <c r="N8" s="45">
        <f t="shared" si="4"/>
        <v>240252</v>
      </c>
      <c r="O8" s="45">
        <f t="shared" si="4"/>
        <v>746784</v>
      </c>
      <c r="P8" s="45">
        <f t="shared" si="4"/>
        <v>26676</v>
      </c>
      <c r="Q8" s="45">
        <f t="shared" si="4"/>
        <v>69024</v>
      </c>
      <c r="R8" s="45">
        <f t="shared" si="4"/>
        <v>370860</v>
      </c>
      <c r="S8" s="45">
        <f t="shared" si="4"/>
        <v>159972</v>
      </c>
      <c r="T8" s="45">
        <f t="shared" si="1"/>
        <v>5717496</v>
      </c>
      <c r="U8" s="46"/>
    </row>
    <row r="9" spans="1:21">
      <c r="A9" s="42" t="s">
        <v>41</v>
      </c>
      <c r="B9" s="43" t="s">
        <v>42</v>
      </c>
      <c r="C9" s="43" t="s">
        <v>35</v>
      </c>
      <c r="D9" s="44" t="s">
        <v>36</v>
      </c>
      <c r="E9" s="47">
        <f>661*12</f>
        <v>7932</v>
      </c>
      <c r="F9" s="47">
        <f>472*12</f>
        <v>5664</v>
      </c>
      <c r="G9" s="47">
        <f>598*12</f>
        <v>7176</v>
      </c>
      <c r="H9" s="47">
        <f>553*12</f>
        <v>6636</v>
      </c>
      <c r="I9" s="47">
        <f>807*12</f>
        <v>9684</v>
      </c>
      <c r="J9" s="47">
        <f>164*12</f>
        <v>1968</v>
      </c>
      <c r="K9" s="47">
        <f>364*12</f>
        <v>4368</v>
      </c>
      <c r="L9" s="47">
        <f>277*12</f>
        <v>3324</v>
      </c>
      <c r="M9" s="47">
        <f>178*12</f>
        <v>2136</v>
      </c>
      <c r="N9" s="47">
        <f>221*12</f>
        <v>2652</v>
      </c>
      <c r="O9" s="47">
        <f>632*12</f>
        <v>7584</v>
      </c>
      <c r="P9" s="47">
        <f>23*12</f>
        <v>276</v>
      </c>
      <c r="Q9" s="47">
        <f>32*12</f>
        <v>384</v>
      </c>
      <c r="R9" s="47">
        <f>105*12</f>
        <v>1260</v>
      </c>
      <c r="S9" s="47">
        <f>131*12</f>
        <v>1572</v>
      </c>
      <c r="T9" s="45">
        <f t="shared" si="1"/>
        <v>62616</v>
      </c>
      <c r="U9" s="46"/>
    </row>
    <row r="10" spans="1:21">
      <c r="A10" s="42" t="s">
        <v>43</v>
      </c>
      <c r="B10" s="43" t="s">
        <v>44</v>
      </c>
      <c r="C10" s="43"/>
      <c r="D10" s="44" t="s">
        <v>28</v>
      </c>
      <c r="E10" s="45">
        <f>E11</f>
        <v>617760</v>
      </c>
      <c r="F10" s="45">
        <f>F11</f>
        <v>401280</v>
      </c>
      <c r="G10" s="45">
        <f t="shared" ref="G10:T10" si="5">G11</f>
        <v>422400</v>
      </c>
      <c r="H10" s="45">
        <f t="shared" si="5"/>
        <v>496320</v>
      </c>
      <c r="I10" s="45">
        <f t="shared" si="5"/>
        <v>1056000</v>
      </c>
      <c r="J10" s="45">
        <f t="shared" si="5"/>
        <v>279840</v>
      </c>
      <c r="K10" s="45">
        <f t="shared" si="5"/>
        <v>300960</v>
      </c>
      <c r="L10" s="45">
        <f t="shared" si="5"/>
        <v>253440</v>
      </c>
      <c r="M10" s="45">
        <f t="shared" si="5"/>
        <v>227040</v>
      </c>
      <c r="N10" s="45">
        <f t="shared" si="5"/>
        <v>237600</v>
      </c>
      <c r="O10" s="45">
        <f t="shared" si="5"/>
        <v>739200</v>
      </c>
      <c r="P10" s="45">
        <f t="shared" si="5"/>
        <v>26400</v>
      </c>
      <c r="Q10" s="45">
        <f t="shared" si="5"/>
        <v>68640</v>
      </c>
      <c r="R10" s="45">
        <f t="shared" si="5"/>
        <v>369600</v>
      </c>
      <c r="S10" s="45">
        <f t="shared" si="5"/>
        <v>158400</v>
      </c>
      <c r="T10" s="45">
        <f t="shared" si="5"/>
        <v>5654880</v>
      </c>
      <c r="U10" s="46"/>
    </row>
    <row r="11" spans="1:21" s="50" customFormat="1">
      <c r="A11" s="42" t="s">
        <v>45</v>
      </c>
      <c r="B11" s="49" t="s">
        <v>350</v>
      </c>
      <c r="C11" s="49" t="s">
        <v>35</v>
      </c>
      <c r="D11" s="46" t="s">
        <v>28</v>
      </c>
      <c r="E11" s="45">
        <f>440*12*E93</f>
        <v>617760</v>
      </c>
      <c r="F11" s="45">
        <f>440*12*F93</f>
        <v>401280</v>
      </c>
      <c r="G11" s="45">
        <f t="shared" ref="G11:S11" si="6">440*12*G93</f>
        <v>422400</v>
      </c>
      <c r="H11" s="45">
        <f t="shared" si="6"/>
        <v>496320</v>
      </c>
      <c r="I11" s="45">
        <f t="shared" si="6"/>
        <v>1056000</v>
      </c>
      <c r="J11" s="45">
        <f t="shared" si="6"/>
        <v>279840</v>
      </c>
      <c r="K11" s="45">
        <f t="shared" si="6"/>
        <v>300960</v>
      </c>
      <c r="L11" s="45">
        <f t="shared" si="6"/>
        <v>253440</v>
      </c>
      <c r="M11" s="45">
        <f t="shared" si="6"/>
        <v>227040</v>
      </c>
      <c r="N11" s="45">
        <f t="shared" si="6"/>
        <v>237600</v>
      </c>
      <c r="O11" s="45">
        <f t="shared" si="6"/>
        <v>739200</v>
      </c>
      <c r="P11" s="45">
        <f t="shared" si="6"/>
        <v>26400</v>
      </c>
      <c r="Q11" s="45">
        <f t="shared" si="6"/>
        <v>68640</v>
      </c>
      <c r="R11" s="45">
        <f t="shared" si="6"/>
        <v>369600</v>
      </c>
      <c r="S11" s="45">
        <f t="shared" si="6"/>
        <v>158400</v>
      </c>
      <c r="T11" s="45">
        <f t="shared" ref="T11:T26" si="7">SUM(E11:S11)</f>
        <v>5654880</v>
      </c>
      <c r="U11" s="46"/>
    </row>
    <row r="12" spans="1:21">
      <c r="A12" s="42" t="s">
        <v>47</v>
      </c>
      <c r="B12" s="43" t="s">
        <v>48</v>
      </c>
      <c r="C12" s="43"/>
      <c r="D12" s="44" t="s">
        <v>49</v>
      </c>
      <c r="E12" s="45">
        <f>E13+E14</f>
        <v>201756.09000000003</v>
      </c>
      <c r="F12" s="45">
        <f t="shared" ref="F12:N12" si="8">F13+F14</f>
        <v>132284.01999999999</v>
      </c>
      <c r="G12" s="45">
        <f t="shared" si="8"/>
        <v>135404.78999999998</v>
      </c>
      <c r="H12" s="45">
        <f t="shared" si="8"/>
        <v>150485.04</v>
      </c>
      <c r="I12" s="45">
        <f t="shared" si="8"/>
        <v>301348.51</v>
      </c>
      <c r="J12" s="45">
        <f t="shared" si="8"/>
        <v>70865.279999999999</v>
      </c>
      <c r="K12" s="45">
        <f t="shared" si="8"/>
        <v>89293.11</v>
      </c>
      <c r="L12" s="45">
        <f t="shared" si="8"/>
        <v>71127.070000000007</v>
      </c>
      <c r="M12" s="45">
        <f t="shared" si="8"/>
        <v>62730.29</v>
      </c>
      <c r="N12" s="45">
        <f t="shared" si="8"/>
        <v>65870.489999999991</v>
      </c>
      <c r="O12" s="45">
        <f>O13+O14</f>
        <v>236273.76</v>
      </c>
      <c r="P12" s="45">
        <f t="shared" ref="P12" si="9">P13+P14</f>
        <v>9081.07</v>
      </c>
      <c r="Q12" s="45">
        <f t="shared" ref="Q12" si="10">Q13+Q14</f>
        <v>22768.13</v>
      </c>
      <c r="R12" s="45">
        <f t="shared" ref="R12" si="11">R13+R14</f>
        <v>112157.14</v>
      </c>
      <c r="S12" s="45">
        <f t="shared" ref="S12" si="12">S13+S14</f>
        <v>38912.400000000001</v>
      </c>
      <c r="T12" s="45">
        <f t="shared" si="7"/>
        <v>1700357.19</v>
      </c>
      <c r="U12" s="46"/>
    </row>
    <row r="13" spans="1:21" s="50" customFormat="1">
      <c r="A13" s="42" t="s">
        <v>50</v>
      </c>
      <c r="B13" s="49" t="s">
        <v>589</v>
      </c>
      <c r="C13" s="49" t="s">
        <v>35</v>
      </c>
      <c r="D13" s="46" t="s">
        <v>51</v>
      </c>
      <c r="E13" s="45">
        <f>ROUND(E28/0.07*0.00256,2)</f>
        <v>68319.520000000004</v>
      </c>
      <c r="F13" s="45">
        <f>ROUND(F28/0.07*0.00256,2)</f>
        <v>44794.59</v>
      </c>
      <c r="G13" s="45">
        <f t="shared" ref="G13:S13" si="13">ROUND(G28/0.07*0.00256,2)</f>
        <v>45851.360000000001</v>
      </c>
      <c r="H13" s="45">
        <f t="shared" si="13"/>
        <v>50957.9</v>
      </c>
      <c r="I13" s="45">
        <f t="shared" si="13"/>
        <v>102043.94</v>
      </c>
      <c r="J13" s="45">
        <f t="shared" si="13"/>
        <v>23996.71</v>
      </c>
      <c r="K13" s="45">
        <f t="shared" si="13"/>
        <v>30236.82</v>
      </c>
      <c r="L13" s="45">
        <f t="shared" si="13"/>
        <v>24085.360000000001</v>
      </c>
      <c r="M13" s="45">
        <f t="shared" si="13"/>
        <v>21242</v>
      </c>
      <c r="N13" s="45">
        <f t="shared" si="13"/>
        <v>22305.35</v>
      </c>
      <c r="O13" s="45">
        <f t="shared" si="13"/>
        <v>80008.05</v>
      </c>
      <c r="P13" s="45">
        <f t="shared" si="13"/>
        <v>3075.07</v>
      </c>
      <c r="Q13" s="45">
        <f t="shared" si="13"/>
        <v>7709.84</v>
      </c>
      <c r="R13" s="45">
        <f t="shared" si="13"/>
        <v>37979.14</v>
      </c>
      <c r="S13" s="45">
        <f t="shared" si="13"/>
        <v>13176.69</v>
      </c>
      <c r="T13" s="45">
        <f t="shared" si="7"/>
        <v>575782.34</v>
      </c>
      <c r="U13" s="46"/>
    </row>
    <row r="14" spans="1:21" s="50" customFormat="1">
      <c r="A14" s="42" t="s">
        <v>52</v>
      </c>
      <c r="B14" s="49" t="s">
        <v>590</v>
      </c>
      <c r="C14" s="49" t="s">
        <v>35</v>
      </c>
      <c r="D14" s="46" t="s">
        <v>51</v>
      </c>
      <c r="E14" s="45">
        <f>ROUND(E28/0.07*0.005,2)</f>
        <v>133436.57</v>
      </c>
      <c r="F14" s="45">
        <f>ROUND(F28/0.07*0.005,2)</f>
        <v>87489.43</v>
      </c>
      <c r="G14" s="45">
        <f t="shared" ref="G14:S14" si="14">ROUND(G28/0.07*0.005,2)</f>
        <v>89553.43</v>
      </c>
      <c r="H14" s="45">
        <f t="shared" si="14"/>
        <v>99527.14</v>
      </c>
      <c r="I14" s="45">
        <f t="shared" si="14"/>
        <v>199304.57</v>
      </c>
      <c r="J14" s="45">
        <f t="shared" si="14"/>
        <v>46868.57</v>
      </c>
      <c r="K14" s="45">
        <f t="shared" si="14"/>
        <v>59056.29</v>
      </c>
      <c r="L14" s="45">
        <f t="shared" si="14"/>
        <v>47041.71</v>
      </c>
      <c r="M14" s="45">
        <f t="shared" si="14"/>
        <v>41488.29</v>
      </c>
      <c r="N14" s="45">
        <f t="shared" si="14"/>
        <v>43565.14</v>
      </c>
      <c r="O14" s="45">
        <f t="shared" si="14"/>
        <v>156265.71</v>
      </c>
      <c r="P14" s="45">
        <f t="shared" si="14"/>
        <v>6006</v>
      </c>
      <c r="Q14" s="45">
        <f t="shared" si="14"/>
        <v>15058.29</v>
      </c>
      <c r="R14" s="45">
        <f t="shared" si="14"/>
        <v>74178</v>
      </c>
      <c r="S14" s="45">
        <f t="shared" si="14"/>
        <v>25735.71</v>
      </c>
      <c r="T14" s="45">
        <f t="shared" si="7"/>
        <v>1124574.8500000001</v>
      </c>
      <c r="U14" s="46"/>
    </row>
    <row r="15" spans="1:21">
      <c r="A15" s="42" t="s">
        <v>53</v>
      </c>
      <c r="B15" s="43" t="s">
        <v>55</v>
      </c>
      <c r="C15" s="43"/>
      <c r="D15" s="44" t="s">
        <v>28</v>
      </c>
      <c r="E15" s="45">
        <v>22382100</v>
      </c>
      <c r="F15" s="45">
        <v>14538800</v>
      </c>
      <c r="G15" s="45">
        <v>15304000</v>
      </c>
      <c r="H15" s="45">
        <v>17982200</v>
      </c>
      <c r="I15" s="45">
        <v>38260000</v>
      </c>
      <c r="J15" s="45">
        <v>10138900</v>
      </c>
      <c r="K15" s="45">
        <v>9952200</v>
      </c>
      <c r="L15" s="45">
        <v>8380800</v>
      </c>
      <c r="M15" s="45">
        <v>7507800</v>
      </c>
      <c r="N15" s="45">
        <v>7857000</v>
      </c>
      <c r="O15" s="45">
        <v>26782000</v>
      </c>
      <c r="P15" s="45">
        <v>928500</v>
      </c>
      <c r="Q15" s="45">
        <v>2269800</v>
      </c>
      <c r="R15" s="45">
        <v>13391000</v>
      </c>
      <c r="S15" s="45">
        <v>5238000</v>
      </c>
      <c r="T15" s="45">
        <f t="shared" si="7"/>
        <v>200913100</v>
      </c>
      <c r="U15" s="46"/>
    </row>
    <row r="16" spans="1:21" ht="22.5">
      <c r="A16" s="42" t="s">
        <v>54</v>
      </c>
      <c r="B16" s="51" t="s">
        <v>57</v>
      </c>
      <c r="C16" s="51" t="s">
        <v>35</v>
      </c>
      <c r="D16" s="52" t="s">
        <v>58</v>
      </c>
      <c r="E16" s="53">
        <f>E15-E17</f>
        <v>22163352</v>
      </c>
      <c r="F16" s="53">
        <f t="shared" ref="F16:S16" si="15">F15-F17</f>
        <v>14333288</v>
      </c>
      <c r="G16" s="53">
        <f t="shared" si="15"/>
        <v>14797900</v>
      </c>
      <c r="H16" s="53">
        <f t="shared" si="15"/>
        <v>17499440</v>
      </c>
      <c r="I16" s="53">
        <f t="shared" si="15"/>
        <v>37955440</v>
      </c>
      <c r="J16" s="53">
        <f t="shared" si="15"/>
        <v>9945508</v>
      </c>
      <c r="K16" s="53">
        <f t="shared" si="15"/>
        <v>9755268</v>
      </c>
      <c r="L16" s="53">
        <f t="shared" si="15"/>
        <v>8161068</v>
      </c>
      <c r="M16" s="53">
        <f t="shared" si="15"/>
        <v>7292784</v>
      </c>
      <c r="N16" s="53">
        <f t="shared" si="15"/>
        <v>7666416</v>
      </c>
      <c r="O16" s="53">
        <f t="shared" si="15"/>
        <v>26542192</v>
      </c>
      <c r="P16" s="53">
        <f t="shared" si="15"/>
        <v>928500</v>
      </c>
      <c r="Q16" s="53">
        <f t="shared" si="15"/>
        <v>2096964</v>
      </c>
      <c r="R16" s="53">
        <f t="shared" si="15"/>
        <v>13205528</v>
      </c>
      <c r="S16" s="53">
        <f t="shared" si="15"/>
        <v>5048856</v>
      </c>
      <c r="T16" s="45">
        <f t="shared" si="7"/>
        <v>197392504</v>
      </c>
      <c r="U16" s="52"/>
    </row>
    <row r="17" spans="1:21">
      <c r="A17" s="42" t="s">
        <v>56</v>
      </c>
      <c r="B17" s="51" t="s">
        <v>60</v>
      </c>
      <c r="C17" s="51" t="s">
        <v>35</v>
      </c>
      <c r="D17" s="52" t="s">
        <v>61</v>
      </c>
      <c r="E17" s="53">
        <f>(3110+12619)*12+10000+20000</f>
        <v>218748</v>
      </c>
      <c r="F17" s="53">
        <f>(3520+11106)*12+30000</f>
        <v>205512</v>
      </c>
      <c r="G17" s="53">
        <f>(3980+3930+16388+12877)*12+60000</f>
        <v>506100</v>
      </c>
      <c r="H17" s="53">
        <f>(4080+11706+3770+15674)*12+60000</f>
        <v>482760</v>
      </c>
      <c r="I17" s="53">
        <f>(4070+18810)*12+30000</f>
        <v>304560</v>
      </c>
      <c r="J17" s="53">
        <f>(3570+10046)*12+30000</f>
        <v>193392</v>
      </c>
      <c r="K17" s="53">
        <f>(2825+11086)*12+30000</f>
        <v>196932</v>
      </c>
      <c r="L17" s="53">
        <f>(3425+12386)*12+30000</f>
        <v>219732</v>
      </c>
      <c r="M17" s="53">
        <f>(3375+12043)*12+30000</f>
        <v>215016</v>
      </c>
      <c r="N17" s="53">
        <f>(3055+10327)*12+30000</f>
        <v>190584</v>
      </c>
      <c r="O17" s="53">
        <f>(3420+14064)*12+30000</f>
        <v>239808</v>
      </c>
      <c r="P17" s="53"/>
      <c r="Q17" s="53">
        <f>(2665+9238)*12+30000</f>
        <v>172836</v>
      </c>
      <c r="R17" s="53">
        <f>(2910+10046)*12+30000</f>
        <v>185472</v>
      </c>
      <c r="S17" s="53">
        <f>(3045+10217)*12+30000</f>
        <v>189144</v>
      </c>
      <c r="T17" s="45">
        <f t="shared" si="7"/>
        <v>3520596</v>
      </c>
      <c r="U17" s="52"/>
    </row>
    <row r="18" spans="1:21">
      <c r="A18" s="42" t="s">
        <v>59</v>
      </c>
      <c r="B18" s="43" t="s">
        <v>63</v>
      </c>
      <c r="C18" s="43"/>
      <c r="D18" s="52" t="s">
        <v>28</v>
      </c>
      <c r="E18" s="54">
        <f>E19</f>
        <v>2802168</v>
      </c>
      <c r="F18" s="54">
        <f>F19</f>
        <v>1837278</v>
      </c>
      <c r="G18" s="54">
        <f t="shared" ref="G18:S18" si="16">G19</f>
        <v>1880622</v>
      </c>
      <c r="H18" s="54">
        <f t="shared" si="16"/>
        <v>2090070</v>
      </c>
      <c r="I18" s="54">
        <f t="shared" si="16"/>
        <v>4185396</v>
      </c>
      <c r="J18" s="54">
        <f t="shared" si="16"/>
        <v>984240</v>
      </c>
      <c r="K18" s="54">
        <f t="shared" si="16"/>
        <v>1240182</v>
      </c>
      <c r="L18" s="54">
        <f t="shared" si="16"/>
        <v>987876</v>
      </c>
      <c r="M18" s="54">
        <f t="shared" si="16"/>
        <v>871254</v>
      </c>
      <c r="N18" s="54">
        <f t="shared" si="16"/>
        <v>914868</v>
      </c>
      <c r="O18" s="54">
        <f t="shared" si="16"/>
        <v>3281580</v>
      </c>
      <c r="P18" s="54">
        <f t="shared" si="16"/>
        <v>126126</v>
      </c>
      <c r="Q18" s="54">
        <f t="shared" si="16"/>
        <v>316224</v>
      </c>
      <c r="R18" s="54">
        <f t="shared" si="16"/>
        <v>1557738</v>
      </c>
      <c r="S18" s="54">
        <f t="shared" si="16"/>
        <v>540450</v>
      </c>
      <c r="T18" s="45">
        <f t="shared" si="7"/>
        <v>23616072</v>
      </c>
      <c r="U18" s="52"/>
    </row>
    <row r="19" spans="1:21">
      <c r="A19" s="42" t="s">
        <v>62</v>
      </c>
      <c r="B19" s="43" t="s">
        <v>351</v>
      </c>
      <c r="C19" s="43" t="s">
        <v>66</v>
      </c>
      <c r="D19" s="52" t="s">
        <v>28</v>
      </c>
      <c r="E19" s="54">
        <f>ROUND(E28/0.07*0.105,2)</f>
        <v>2802168</v>
      </c>
      <c r="F19" s="54">
        <f>ROUND(F28/0.07*0.105,2)</f>
        <v>1837278</v>
      </c>
      <c r="G19" s="54">
        <f t="shared" ref="G19:S19" si="17">ROUND(G28/0.07*0.105,2)</f>
        <v>1880622</v>
      </c>
      <c r="H19" s="54">
        <f t="shared" si="17"/>
        <v>2090070</v>
      </c>
      <c r="I19" s="54">
        <f t="shared" si="17"/>
        <v>4185396</v>
      </c>
      <c r="J19" s="54">
        <f t="shared" si="17"/>
        <v>984240</v>
      </c>
      <c r="K19" s="54">
        <f t="shared" si="17"/>
        <v>1240182</v>
      </c>
      <c r="L19" s="54">
        <f t="shared" si="17"/>
        <v>987876</v>
      </c>
      <c r="M19" s="54">
        <f t="shared" si="17"/>
        <v>871254</v>
      </c>
      <c r="N19" s="54">
        <f t="shared" si="17"/>
        <v>914868</v>
      </c>
      <c r="O19" s="54">
        <f t="shared" si="17"/>
        <v>3281580</v>
      </c>
      <c r="P19" s="54">
        <f t="shared" si="17"/>
        <v>126126</v>
      </c>
      <c r="Q19" s="54">
        <f t="shared" si="17"/>
        <v>316224</v>
      </c>
      <c r="R19" s="54">
        <f t="shared" si="17"/>
        <v>1557738</v>
      </c>
      <c r="S19" s="54">
        <f t="shared" si="17"/>
        <v>540450</v>
      </c>
      <c r="T19" s="45">
        <f t="shared" si="7"/>
        <v>23616072</v>
      </c>
      <c r="U19" s="52"/>
    </row>
    <row r="20" spans="1:21">
      <c r="A20" s="42" t="s">
        <v>64</v>
      </c>
      <c r="B20" s="43" t="s">
        <v>68</v>
      </c>
      <c r="C20" s="43"/>
      <c r="D20" s="52" t="s">
        <v>51</v>
      </c>
      <c r="E20" s="54">
        <f>E21+E22</f>
        <v>1067492.58</v>
      </c>
      <c r="F20" s="54">
        <f>F21+F22</f>
        <v>699915.42</v>
      </c>
      <c r="G20" s="54">
        <f t="shared" ref="G20:S20" si="18">G21+G22</f>
        <v>716427.42</v>
      </c>
      <c r="H20" s="54">
        <f t="shared" si="18"/>
        <v>796217.14</v>
      </c>
      <c r="I20" s="54">
        <f t="shared" si="18"/>
        <v>1594436.58</v>
      </c>
      <c r="J20" s="54">
        <f t="shared" si="18"/>
        <v>374948.58</v>
      </c>
      <c r="K20" s="54">
        <f t="shared" si="18"/>
        <v>472450.28</v>
      </c>
      <c r="L20" s="54">
        <f t="shared" si="18"/>
        <v>376333.72</v>
      </c>
      <c r="M20" s="54">
        <f t="shared" si="18"/>
        <v>331906.28000000003</v>
      </c>
      <c r="N20" s="54">
        <f t="shared" si="18"/>
        <v>348521.14</v>
      </c>
      <c r="O20" s="54">
        <f t="shared" si="18"/>
        <v>1250125.72</v>
      </c>
      <c r="P20" s="54">
        <f t="shared" si="18"/>
        <v>48048</v>
      </c>
      <c r="Q20" s="54">
        <f t="shared" si="18"/>
        <v>120466.28</v>
      </c>
      <c r="R20" s="54">
        <f t="shared" si="18"/>
        <v>593424</v>
      </c>
      <c r="S20" s="54">
        <f t="shared" si="18"/>
        <v>205885.72</v>
      </c>
      <c r="T20" s="45">
        <f t="shared" si="7"/>
        <v>8996598.8600000013</v>
      </c>
      <c r="U20" s="52"/>
    </row>
    <row r="21" spans="1:21">
      <c r="A21" s="42" t="s">
        <v>67</v>
      </c>
      <c r="B21" s="43" t="s">
        <v>352</v>
      </c>
      <c r="C21" s="43" t="s">
        <v>71</v>
      </c>
      <c r="D21" s="52" t="s">
        <v>51</v>
      </c>
      <c r="E21" s="54">
        <f>ROUND(E28/0.07*0.02,2)</f>
        <v>533746.29</v>
      </c>
      <c r="F21" s="54">
        <f>ROUND(F28/0.07*0.02,2)</f>
        <v>349957.71</v>
      </c>
      <c r="G21" s="54">
        <f t="shared" ref="G21:S21" si="19">ROUND(G28/0.07*0.02,2)</f>
        <v>358213.71</v>
      </c>
      <c r="H21" s="54">
        <f t="shared" si="19"/>
        <v>398108.57</v>
      </c>
      <c r="I21" s="54">
        <f t="shared" si="19"/>
        <v>797218.29</v>
      </c>
      <c r="J21" s="54">
        <f t="shared" si="19"/>
        <v>187474.29</v>
      </c>
      <c r="K21" s="54">
        <f t="shared" si="19"/>
        <v>236225.14</v>
      </c>
      <c r="L21" s="54">
        <f t="shared" si="19"/>
        <v>188166.86</v>
      </c>
      <c r="M21" s="54">
        <f t="shared" si="19"/>
        <v>165953.14000000001</v>
      </c>
      <c r="N21" s="54">
        <f t="shared" si="19"/>
        <v>174260.57</v>
      </c>
      <c r="O21" s="54">
        <f t="shared" si="19"/>
        <v>625062.86</v>
      </c>
      <c r="P21" s="54">
        <f t="shared" si="19"/>
        <v>24024</v>
      </c>
      <c r="Q21" s="54">
        <f t="shared" si="19"/>
        <v>60233.14</v>
      </c>
      <c r="R21" s="54">
        <f t="shared" si="19"/>
        <v>296712</v>
      </c>
      <c r="S21" s="54">
        <f t="shared" si="19"/>
        <v>102942.86</v>
      </c>
      <c r="T21" s="45">
        <f t="shared" si="7"/>
        <v>4498299.4300000006</v>
      </c>
      <c r="U21" s="52"/>
    </row>
    <row r="22" spans="1:21">
      <c r="A22" s="42" t="s">
        <v>69</v>
      </c>
      <c r="B22" s="43" t="s">
        <v>353</v>
      </c>
      <c r="C22" s="43" t="s">
        <v>71</v>
      </c>
      <c r="D22" s="52" t="s">
        <v>51</v>
      </c>
      <c r="E22" s="54">
        <f>ROUND(E28/0.07*0.02,2)</f>
        <v>533746.29</v>
      </c>
      <c r="F22" s="54">
        <f>ROUND(F28/0.07*0.02,2)</f>
        <v>349957.71</v>
      </c>
      <c r="G22" s="54">
        <f t="shared" ref="G22:S22" si="20">ROUND(G28/0.07*0.02,2)</f>
        <v>358213.71</v>
      </c>
      <c r="H22" s="54">
        <f t="shared" si="20"/>
        <v>398108.57</v>
      </c>
      <c r="I22" s="54">
        <f t="shared" si="20"/>
        <v>797218.29</v>
      </c>
      <c r="J22" s="54">
        <f t="shared" si="20"/>
        <v>187474.29</v>
      </c>
      <c r="K22" s="54">
        <f t="shared" si="20"/>
        <v>236225.14</v>
      </c>
      <c r="L22" s="54">
        <f t="shared" si="20"/>
        <v>188166.86</v>
      </c>
      <c r="M22" s="54">
        <f t="shared" si="20"/>
        <v>165953.14000000001</v>
      </c>
      <c r="N22" s="54">
        <f t="shared" si="20"/>
        <v>174260.57</v>
      </c>
      <c r="O22" s="54">
        <f t="shared" si="20"/>
        <v>625062.86</v>
      </c>
      <c r="P22" s="54">
        <f t="shared" si="20"/>
        <v>24024</v>
      </c>
      <c r="Q22" s="54">
        <f t="shared" si="20"/>
        <v>60233.14</v>
      </c>
      <c r="R22" s="54">
        <f t="shared" si="20"/>
        <v>296712</v>
      </c>
      <c r="S22" s="54">
        <f t="shared" si="20"/>
        <v>102942.86</v>
      </c>
      <c r="T22" s="45">
        <f t="shared" si="7"/>
        <v>4498299.4300000006</v>
      </c>
      <c r="U22" s="52"/>
    </row>
    <row r="23" spans="1:21">
      <c r="A23" s="42" t="s">
        <v>72</v>
      </c>
      <c r="B23" s="43" t="s">
        <v>75</v>
      </c>
      <c r="C23" s="43"/>
      <c r="D23" s="44" t="s">
        <v>28</v>
      </c>
      <c r="E23" s="45">
        <f>E24</f>
        <v>4269970.29</v>
      </c>
      <c r="F23" s="45">
        <f>F24</f>
        <v>2799661.71</v>
      </c>
      <c r="G23" s="45">
        <f t="shared" ref="G23:S23" si="21">G24</f>
        <v>2865709.71</v>
      </c>
      <c r="H23" s="45">
        <f t="shared" si="21"/>
        <v>3184868.57</v>
      </c>
      <c r="I23" s="45">
        <f t="shared" si="21"/>
        <v>6377746.29</v>
      </c>
      <c r="J23" s="45">
        <f t="shared" si="21"/>
        <v>1499794.29</v>
      </c>
      <c r="K23" s="45">
        <f t="shared" si="21"/>
        <v>1889801.14</v>
      </c>
      <c r="L23" s="45">
        <f t="shared" si="21"/>
        <v>1505334.86</v>
      </c>
      <c r="M23" s="45">
        <f t="shared" si="21"/>
        <v>1327625.1399999999</v>
      </c>
      <c r="N23" s="45">
        <f t="shared" si="21"/>
        <v>1394084.57</v>
      </c>
      <c r="O23" s="45">
        <f t="shared" si="21"/>
        <v>5000502.8600000003</v>
      </c>
      <c r="P23" s="45">
        <f t="shared" si="21"/>
        <v>192192</v>
      </c>
      <c r="Q23" s="45">
        <f t="shared" si="21"/>
        <v>481865.14</v>
      </c>
      <c r="R23" s="45">
        <f t="shared" si="21"/>
        <v>2373696</v>
      </c>
      <c r="S23" s="45">
        <f t="shared" si="21"/>
        <v>823542.86</v>
      </c>
      <c r="T23" s="45">
        <f t="shared" si="7"/>
        <v>35986395.43</v>
      </c>
      <c r="U23" s="46"/>
    </row>
    <row r="24" spans="1:21" s="50" customFormat="1">
      <c r="A24" s="42" t="s">
        <v>74</v>
      </c>
      <c r="B24" s="49" t="s">
        <v>354</v>
      </c>
      <c r="C24" s="49" t="s">
        <v>78</v>
      </c>
      <c r="D24" s="46" t="s">
        <v>51</v>
      </c>
      <c r="E24" s="45">
        <f>ROUND(E28/0.07*0.16,2)</f>
        <v>4269970.29</v>
      </c>
      <c r="F24" s="45">
        <f>ROUND(F28/0.07*0.16,2)</f>
        <v>2799661.71</v>
      </c>
      <c r="G24" s="45">
        <f t="shared" ref="G24:S24" si="22">ROUND(G28/0.07*0.16,2)</f>
        <v>2865709.71</v>
      </c>
      <c r="H24" s="45">
        <f t="shared" si="22"/>
        <v>3184868.57</v>
      </c>
      <c r="I24" s="45">
        <f t="shared" si="22"/>
        <v>6377746.29</v>
      </c>
      <c r="J24" s="45">
        <f t="shared" si="22"/>
        <v>1499794.29</v>
      </c>
      <c r="K24" s="45">
        <f t="shared" si="22"/>
        <v>1889801.14</v>
      </c>
      <c r="L24" s="45">
        <f t="shared" si="22"/>
        <v>1505334.86</v>
      </c>
      <c r="M24" s="45">
        <f t="shared" si="22"/>
        <v>1327625.1399999999</v>
      </c>
      <c r="N24" s="45">
        <f t="shared" si="22"/>
        <v>1394084.57</v>
      </c>
      <c r="O24" s="45">
        <f t="shared" si="22"/>
        <v>5000502.8600000003</v>
      </c>
      <c r="P24" s="45">
        <f t="shared" si="22"/>
        <v>192192</v>
      </c>
      <c r="Q24" s="45">
        <f t="shared" si="22"/>
        <v>481865.14</v>
      </c>
      <c r="R24" s="45">
        <f t="shared" si="22"/>
        <v>2373696</v>
      </c>
      <c r="S24" s="45">
        <f t="shared" si="22"/>
        <v>823542.86</v>
      </c>
      <c r="T24" s="45">
        <f t="shared" si="7"/>
        <v>35986395.43</v>
      </c>
      <c r="U24" s="46"/>
    </row>
    <row r="25" spans="1:21">
      <c r="A25" s="42" t="s">
        <v>76</v>
      </c>
      <c r="B25" s="43" t="s">
        <v>80</v>
      </c>
      <c r="C25" s="43"/>
      <c r="D25" s="44" t="s">
        <v>28</v>
      </c>
      <c r="E25" s="45">
        <f>E26</f>
        <v>2134985.14</v>
      </c>
      <c r="F25" s="45">
        <f>F26</f>
        <v>1399830.86</v>
      </c>
      <c r="G25" s="45">
        <f t="shared" ref="G25:S25" si="23">G26</f>
        <v>1432854.86</v>
      </c>
      <c r="H25" s="45">
        <f t="shared" si="23"/>
        <v>1592434.29</v>
      </c>
      <c r="I25" s="45">
        <f t="shared" si="23"/>
        <v>3188873.14</v>
      </c>
      <c r="J25" s="45">
        <f t="shared" si="23"/>
        <v>749897.14</v>
      </c>
      <c r="K25" s="45">
        <f t="shared" si="23"/>
        <v>944900.57</v>
      </c>
      <c r="L25" s="45">
        <f t="shared" si="23"/>
        <v>752667.43</v>
      </c>
      <c r="M25" s="45">
        <f t="shared" si="23"/>
        <v>663812.56999999995</v>
      </c>
      <c r="N25" s="45">
        <f t="shared" si="23"/>
        <v>697042.29</v>
      </c>
      <c r="O25" s="45">
        <f t="shared" si="23"/>
        <v>2500251.4300000002</v>
      </c>
      <c r="P25" s="45">
        <f t="shared" si="23"/>
        <v>96096</v>
      </c>
      <c r="Q25" s="45">
        <f t="shared" si="23"/>
        <v>240932.57</v>
      </c>
      <c r="R25" s="45">
        <f t="shared" si="23"/>
        <v>1186848</v>
      </c>
      <c r="S25" s="45">
        <f t="shared" si="23"/>
        <v>411771.43</v>
      </c>
      <c r="T25" s="45">
        <f t="shared" si="7"/>
        <v>17993197.720000003</v>
      </c>
      <c r="U25" s="46"/>
    </row>
    <row r="26" spans="1:21" s="50" customFormat="1">
      <c r="A26" s="42" t="s">
        <v>79</v>
      </c>
      <c r="B26" s="49" t="s">
        <v>82</v>
      </c>
      <c r="C26" s="49" t="s">
        <v>83</v>
      </c>
      <c r="D26" s="46" t="s">
        <v>51</v>
      </c>
      <c r="E26" s="45">
        <f>ROUND(E28/0.07*0.08,2)</f>
        <v>2134985.14</v>
      </c>
      <c r="F26" s="45">
        <f>ROUND(F28/0.07*0.08,2)</f>
        <v>1399830.86</v>
      </c>
      <c r="G26" s="45">
        <f t="shared" ref="G26:S26" si="24">ROUND(G28/0.07*0.08,2)</f>
        <v>1432854.86</v>
      </c>
      <c r="H26" s="45">
        <f t="shared" si="24"/>
        <v>1592434.29</v>
      </c>
      <c r="I26" s="45">
        <f t="shared" si="24"/>
        <v>3188873.14</v>
      </c>
      <c r="J26" s="45">
        <f t="shared" si="24"/>
        <v>749897.14</v>
      </c>
      <c r="K26" s="45">
        <f t="shared" si="24"/>
        <v>944900.57</v>
      </c>
      <c r="L26" s="45">
        <f t="shared" si="24"/>
        <v>752667.43</v>
      </c>
      <c r="M26" s="45">
        <f t="shared" si="24"/>
        <v>663812.56999999995</v>
      </c>
      <c r="N26" s="45">
        <f t="shared" si="24"/>
        <v>697042.29</v>
      </c>
      <c r="O26" s="45">
        <f t="shared" si="24"/>
        <v>2500251.4300000002</v>
      </c>
      <c r="P26" s="45">
        <f t="shared" si="24"/>
        <v>96096</v>
      </c>
      <c r="Q26" s="45">
        <f t="shared" si="24"/>
        <v>240932.57</v>
      </c>
      <c r="R26" s="45">
        <f t="shared" si="24"/>
        <v>1186848</v>
      </c>
      <c r="S26" s="45">
        <f t="shared" si="24"/>
        <v>411771.43</v>
      </c>
      <c r="T26" s="45">
        <f t="shared" si="7"/>
        <v>17993197.720000003</v>
      </c>
      <c r="U26" s="46"/>
    </row>
    <row r="27" spans="1:21" ht="22.5">
      <c r="A27" s="42" t="s">
        <v>81</v>
      </c>
      <c r="B27" s="43" t="s">
        <v>85</v>
      </c>
      <c r="C27" s="51" t="s">
        <v>35</v>
      </c>
      <c r="D27" s="46" t="s">
        <v>355</v>
      </c>
      <c r="E27" s="45">
        <f>6000*E93</f>
        <v>702000</v>
      </c>
      <c r="F27" s="45">
        <f>6000*F93</f>
        <v>456000</v>
      </c>
      <c r="G27" s="45">
        <f t="shared" ref="G27:T27" si="25">6000*G93</f>
        <v>480000</v>
      </c>
      <c r="H27" s="45">
        <f t="shared" si="25"/>
        <v>564000</v>
      </c>
      <c r="I27" s="45">
        <f t="shared" si="25"/>
        <v>1200000</v>
      </c>
      <c r="J27" s="45">
        <f t="shared" si="25"/>
        <v>318000</v>
      </c>
      <c r="K27" s="45">
        <f t="shared" si="25"/>
        <v>342000</v>
      </c>
      <c r="L27" s="45">
        <f t="shared" si="25"/>
        <v>288000</v>
      </c>
      <c r="M27" s="45">
        <f t="shared" si="25"/>
        <v>258000</v>
      </c>
      <c r="N27" s="45">
        <f t="shared" si="25"/>
        <v>270000</v>
      </c>
      <c r="O27" s="45">
        <f t="shared" si="25"/>
        <v>840000</v>
      </c>
      <c r="P27" s="45">
        <f t="shared" si="25"/>
        <v>30000</v>
      </c>
      <c r="Q27" s="45">
        <f t="shared" si="25"/>
        <v>78000</v>
      </c>
      <c r="R27" s="45">
        <f t="shared" si="25"/>
        <v>420000</v>
      </c>
      <c r="S27" s="45">
        <f t="shared" si="25"/>
        <v>180000</v>
      </c>
      <c r="T27" s="45">
        <f t="shared" si="25"/>
        <v>6426000</v>
      </c>
      <c r="U27" s="46"/>
    </row>
    <row r="28" spans="1:21">
      <c r="A28" s="42" t="s">
        <v>84</v>
      </c>
      <c r="B28" s="43" t="s">
        <v>88</v>
      </c>
      <c r="C28" s="43" t="s">
        <v>88</v>
      </c>
      <c r="D28" s="44" t="s">
        <v>356</v>
      </c>
      <c r="E28" s="53">
        <f>155676*12</f>
        <v>1868112</v>
      </c>
      <c r="F28" s="53">
        <f>102071*12</f>
        <v>1224852</v>
      </c>
      <c r="G28" s="53">
        <f>104479*12</f>
        <v>1253748</v>
      </c>
      <c r="H28" s="53">
        <f>116115*12</f>
        <v>1393380</v>
      </c>
      <c r="I28" s="53">
        <f>232522*12</f>
        <v>2790264</v>
      </c>
      <c r="J28" s="53">
        <f>54680*12</f>
        <v>656160</v>
      </c>
      <c r="K28" s="53">
        <f>68899*12</f>
        <v>826788</v>
      </c>
      <c r="L28" s="53">
        <f>54882*12</f>
        <v>658584</v>
      </c>
      <c r="M28" s="53">
        <f>48403*12</f>
        <v>580836</v>
      </c>
      <c r="N28" s="53">
        <f>50826*12</f>
        <v>609912</v>
      </c>
      <c r="O28" s="53">
        <f>182310*12</f>
        <v>2187720</v>
      </c>
      <c r="P28" s="53">
        <f>7007*12</f>
        <v>84084</v>
      </c>
      <c r="Q28" s="53">
        <f>17568*12</f>
        <v>210816</v>
      </c>
      <c r="R28" s="53">
        <f>86541*12</f>
        <v>1038492</v>
      </c>
      <c r="S28" s="53">
        <f>30025*12</f>
        <v>360300</v>
      </c>
      <c r="T28" s="45">
        <f t="shared" ref="T28:T57" si="26">SUM(E28:S28)</f>
        <v>15744048</v>
      </c>
      <c r="U28" s="52"/>
    </row>
    <row r="29" spans="1:21">
      <c r="A29" s="42" t="s">
        <v>87</v>
      </c>
      <c r="B29" s="43" t="s">
        <v>357</v>
      </c>
      <c r="C29" s="43" t="s">
        <v>358</v>
      </c>
      <c r="D29" s="46" t="s">
        <v>359</v>
      </c>
      <c r="E29" s="53"/>
      <c r="F29" s="53"/>
      <c r="G29" s="53"/>
      <c r="H29" s="53"/>
      <c r="I29" s="53"/>
      <c r="J29" s="53"/>
      <c r="K29" s="53"/>
      <c r="L29" s="53"/>
      <c r="M29" s="53"/>
      <c r="N29" s="53"/>
      <c r="O29" s="53"/>
      <c r="P29" s="53"/>
      <c r="Q29" s="53"/>
      <c r="R29" s="53"/>
      <c r="S29" s="53"/>
      <c r="T29" s="45">
        <f t="shared" si="26"/>
        <v>0</v>
      </c>
      <c r="U29" s="52"/>
    </row>
    <row r="30" spans="1:21">
      <c r="A30" s="42" t="s">
        <v>90</v>
      </c>
      <c r="B30" s="43" t="s">
        <v>95</v>
      </c>
      <c r="C30" s="43"/>
      <c r="D30" s="44" t="s">
        <v>28</v>
      </c>
      <c r="E30" s="45">
        <f>E31+E39+E42+E44</f>
        <v>6240</v>
      </c>
      <c r="F30" s="45">
        <f t="shared" ref="F30:M30" si="27">F31+F39+F42+F44</f>
        <v>10400</v>
      </c>
      <c r="G30" s="45">
        <f t="shared" si="27"/>
        <v>6380</v>
      </c>
      <c r="H30" s="45">
        <f t="shared" si="27"/>
        <v>3010</v>
      </c>
      <c r="I30" s="45">
        <f t="shared" si="27"/>
        <v>6770</v>
      </c>
      <c r="J30" s="45">
        <f t="shared" si="27"/>
        <v>3850</v>
      </c>
      <c r="K30" s="45">
        <f t="shared" si="27"/>
        <v>8100</v>
      </c>
      <c r="L30" s="45">
        <f t="shared" si="27"/>
        <v>9460</v>
      </c>
      <c r="M30" s="45">
        <f t="shared" si="27"/>
        <v>7970</v>
      </c>
      <c r="N30" s="45">
        <f>N31+N39+N42+N44</f>
        <v>5290</v>
      </c>
      <c r="O30" s="45">
        <f t="shared" ref="O30" si="28">O31+O39+O42+O44</f>
        <v>13400</v>
      </c>
      <c r="P30" s="45">
        <f t="shared" ref="P30" si="29">P31+P39+P42+P44</f>
        <v>0</v>
      </c>
      <c r="Q30" s="45">
        <f t="shared" ref="Q30" si="30">Q31+Q39+Q42+Q44</f>
        <v>1470</v>
      </c>
      <c r="R30" s="45">
        <f t="shared" ref="R30" si="31">R31+R39+R42+R44</f>
        <v>4160</v>
      </c>
      <c r="S30" s="45">
        <f t="shared" ref="S30" si="32">S31+S39+S42+S44</f>
        <v>3800</v>
      </c>
      <c r="T30" s="45">
        <f t="shared" si="26"/>
        <v>90300</v>
      </c>
      <c r="U30" s="46"/>
    </row>
    <row r="31" spans="1:21">
      <c r="A31" s="42" t="s">
        <v>94</v>
      </c>
      <c r="B31" s="43" t="s">
        <v>97</v>
      </c>
      <c r="C31" s="43"/>
      <c r="D31" s="44" t="s">
        <v>28</v>
      </c>
      <c r="E31" s="45">
        <f>E32+E33+E34+E35+E36+E37+E38</f>
        <v>0</v>
      </c>
      <c r="F31" s="45">
        <f>F32+F33+F34+F35+F36+F37+F38</f>
        <v>0</v>
      </c>
      <c r="G31" s="45">
        <f t="shared" ref="G31:S31" si="33">G32+G33+G34+G35+G36+G37+G38</f>
        <v>0</v>
      </c>
      <c r="H31" s="45">
        <f t="shared" si="33"/>
        <v>0</v>
      </c>
      <c r="I31" s="45">
        <f t="shared" si="33"/>
        <v>0</v>
      </c>
      <c r="J31" s="45">
        <f t="shared" si="33"/>
        <v>0</v>
      </c>
      <c r="K31" s="45">
        <f t="shared" si="33"/>
        <v>0</v>
      </c>
      <c r="L31" s="45">
        <f t="shared" si="33"/>
        <v>0</v>
      </c>
      <c r="M31" s="45">
        <f t="shared" si="33"/>
        <v>0</v>
      </c>
      <c r="N31" s="45">
        <f t="shared" si="33"/>
        <v>0</v>
      </c>
      <c r="O31" s="45">
        <f t="shared" si="33"/>
        <v>0</v>
      </c>
      <c r="P31" s="45">
        <f t="shared" si="33"/>
        <v>0</v>
      </c>
      <c r="Q31" s="45">
        <f t="shared" si="33"/>
        <v>0</v>
      </c>
      <c r="R31" s="45">
        <f t="shared" si="33"/>
        <v>0</v>
      </c>
      <c r="S31" s="45">
        <f t="shared" si="33"/>
        <v>0</v>
      </c>
      <c r="T31" s="45">
        <f t="shared" si="26"/>
        <v>0</v>
      </c>
      <c r="U31" s="46"/>
    </row>
    <row r="32" spans="1:21">
      <c r="A32" s="42" t="s">
        <v>96</v>
      </c>
      <c r="B32" s="43" t="s">
        <v>99</v>
      </c>
      <c r="C32" s="43" t="s">
        <v>100</v>
      </c>
      <c r="D32" s="52" t="s">
        <v>101</v>
      </c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53"/>
      <c r="P32" s="53"/>
      <c r="Q32" s="53"/>
      <c r="R32" s="53"/>
      <c r="S32" s="53"/>
      <c r="T32" s="45">
        <f t="shared" si="26"/>
        <v>0</v>
      </c>
      <c r="U32" s="52"/>
    </row>
    <row r="33" spans="1:21">
      <c r="A33" s="42" t="s">
        <v>98</v>
      </c>
      <c r="B33" s="43" t="s">
        <v>103</v>
      </c>
      <c r="C33" s="43" t="s">
        <v>100</v>
      </c>
      <c r="D33" s="52" t="s">
        <v>101</v>
      </c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53"/>
      <c r="P33" s="53"/>
      <c r="Q33" s="53"/>
      <c r="R33" s="53"/>
      <c r="S33" s="53"/>
      <c r="T33" s="45">
        <f t="shared" si="26"/>
        <v>0</v>
      </c>
      <c r="U33" s="52"/>
    </row>
    <row r="34" spans="1:21">
      <c r="A34" s="42" t="s">
        <v>102</v>
      </c>
      <c r="B34" s="43" t="s">
        <v>105</v>
      </c>
      <c r="C34" s="43" t="s">
        <v>100</v>
      </c>
      <c r="D34" s="52" t="s">
        <v>106</v>
      </c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3"/>
      <c r="P34" s="53"/>
      <c r="Q34" s="53"/>
      <c r="R34" s="53"/>
      <c r="S34" s="53"/>
      <c r="T34" s="45">
        <f t="shared" si="26"/>
        <v>0</v>
      </c>
      <c r="U34" s="52"/>
    </row>
    <row r="35" spans="1:21">
      <c r="A35" s="42" t="s">
        <v>104</v>
      </c>
      <c r="B35" s="43" t="s">
        <v>108</v>
      </c>
      <c r="C35" s="43" t="s">
        <v>100</v>
      </c>
      <c r="D35" s="52" t="s">
        <v>101</v>
      </c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53"/>
      <c r="P35" s="53"/>
      <c r="Q35" s="53"/>
      <c r="R35" s="53"/>
      <c r="S35" s="53"/>
      <c r="T35" s="45">
        <f t="shared" si="26"/>
        <v>0</v>
      </c>
      <c r="U35" s="52"/>
    </row>
    <row r="36" spans="1:21">
      <c r="A36" s="42" t="s">
        <v>107</v>
      </c>
      <c r="B36" s="43" t="s">
        <v>110</v>
      </c>
      <c r="C36" s="43" t="s">
        <v>100</v>
      </c>
      <c r="D36" s="52" t="s">
        <v>101</v>
      </c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53"/>
      <c r="P36" s="53"/>
      <c r="Q36" s="53"/>
      <c r="R36" s="53"/>
      <c r="S36" s="53"/>
      <c r="T36" s="45">
        <f t="shared" si="26"/>
        <v>0</v>
      </c>
      <c r="U36" s="52"/>
    </row>
    <row r="37" spans="1:21">
      <c r="A37" s="42" t="s">
        <v>109</v>
      </c>
      <c r="B37" s="43" t="s">
        <v>112</v>
      </c>
      <c r="C37" s="43" t="s">
        <v>100</v>
      </c>
      <c r="D37" s="52" t="s">
        <v>101</v>
      </c>
      <c r="E37" s="53"/>
      <c r="F37" s="53"/>
      <c r="G37" s="53"/>
      <c r="H37" s="53"/>
      <c r="I37" s="53"/>
      <c r="J37" s="53"/>
      <c r="K37" s="53"/>
      <c r="L37" s="53"/>
      <c r="M37" s="53"/>
      <c r="N37" s="53"/>
      <c r="O37" s="53"/>
      <c r="P37" s="53"/>
      <c r="Q37" s="53"/>
      <c r="R37" s="53"/>
      <c r="S37" s="53"/>
      <c r="T37" s="45">
        <f t="shared" si="26"/>
        <v>0</v>
      </c>
      <c r="U37" s="52"/>
    </row>
    <row r="38" spans="1:21">
      <c r="A38" s="42" t="s">
        <v>111</v>
      </c>
      <c r="B38" s="43" t="s">
        <v>114</v>
      </c>
      <c r="C38" s="43" t="s">
        <v>100</v>
      </c>
      <c r="D38" s="52" t="s">
        <v>101</v>
      </c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53"/>
      <c r="P38" s="53"/>
      <c r="Q38" s="53"/>
      <c r="R38" s="53"/>
      <c r="S38" s="53"/>
      <c r="T38" s="45">
        <f t="shared" si="26"/>
        <v>0</v>
      </c>
      <c r="U38" s="52"/>
    </row>
    <row r="39" spans="1:21">
      <c r="A39" s="42" t="s">
        <v>113</v>
      </c>
      <c r="B39" s="43" t="s">
        <v>119</v>
      </c>
      <c r="C39" s="43"/>
      <c r="D39" s="44" t="s">
        <v>28</v>
      </c>
      <c r="E39" s="45">
        <f>E40+E41</f>
        <v>0</v>
      </c>
      <c r="F39" s="45">
        <f>F40+F41</f>
        <v>0</v>
      </c>
      <c r="G39" s="45">
        <f t="shared" ref="G39:S39" si="34">G40+G41</f>
        <v>0</v>
      </c>
      <c r="H39" s="45">
        <f t="shared" si="34"/>
        <v>0</v>
      </c>
      <c r="I39" s="45">
        <f t="shared" si="34"/>
        <v>0</v>
      </c>
      <c r="J39" s="45">
        <f t="shared" si="34"/>
        <v>0</v>
      </c>
      <c r="K39" s="45">
        <f t="shared" si="34"/>
        <v>0</v>
      </c>
      <c r="L39" s="45">
        <f t="shared" si="34"/>
        <v>0</v>
      </c>
      <c r="M39" s="45">
        <f t="shared" si="34"/>
        <v>0</v>
      </c>
      <c r="N39" s="45">
        <f t="shared" si="34"/>
        <v>0</v>
      </c>
      <c r="O39" s="45">
        <f t="shared" si="34"/>
        <v>0</v>
      </c>
      <c r="P39" s="45">
        <f t="shared" si="34"/>
        <v>0</v>
      </c>
      <c r="Q39" s="45">
        <f t="shared" si="34"/>
        <v>0</v>
      </c>
      <c r="R39" s="45">
        <f t="shared" si="34"/>
        <v>0</v>
      </c>
      <c r="S39" s="45">
        <f t="shared" si="34"/>
        <v>0</v>
      </c>
      <c r="T39" s="45">
        <f t="shared" si="26"/>
        <v>0</v>
      </c>
      <c r="U39" s="46"/>
    </row>
    <row r="40" spans="1:21" s="50" customFormat="1">
      <c r="A40" s="42" t="s">
        <v>115</v>
      </c>
      <c r="B40" s="49" t="s">
        <v>121</v>
      </c>
      <c r="C40" s="49" t="s">
        <v>35</v>
      </c>
      <c r="D40" s="46" t="s">
        <v>106</v>
      </c>
      <c r="E40" s="55"/>
      <c r="F40" s="55"/>
      <c r="G40" s="55"/>
      <c r="H40" s="55"/>
      <c r="I40" s="55"/>
      <c r="J40" s="55"/>
      <c r="K40" s="55"/>
      <c r="L40" s="55"/>
      <c r="M40" s="55"/>
      <c r="N40" s="55"/>
      <c r="O40" s="55"/>
      <c r="P40" s="55"/>
      <c r="Q40" s="55"/>
      <c r="R40" s="55"/>
      <c r="S40" s="55"/>
      <c r="T40" s="45">
        <f t="shared" si="26"/>
        <v>0</v>
      </c>
      <c r="U40" s="46"/>
    </row>
    <row r="41" spans="1:21" s="50" customFormat="1">
      <c r="A41" s="42" t="s">
        <v>116</v>
      </c>
      <c r="B41" s="49" t="s">
        <v>123</v>
      </c>
      <c r="C41" s="49" t="s">
        <v>35</v>
      </c>
      <c r="D41" s="46" t="s">
        <v>106</v>
      </c>
      <c r="E41" s="55"/>
      <c r="F41" s="55"/>
      <c r="G41" s="55"/>
      <c r="H41" s="55"/>
      <c r="I41" s="55"/>
      <c r="J41" s="55"/>
      <c r="K41" s="55"/>
      <c r="L41" s="55"/>
      <c r="M41" s="55"/>
      <c r="N41" s="55"/>
      <c r="O41" s="55"/>
      <c r="P41" s="55"/>
      <c r="Q41" s="55"/>
      <c r="R41" s="55"/>
      <c r="S41" s="55"/>
      <c r="T41" s="45">
        <f t="shared" si="26"/>
        <v>0</v>
      </c>
      <c r="U41" s="46"/>
    </row>
    <row r="42" spans="1:21">
      <c r="A42" s="42" t="s">
        <v>118</v>
      </c>
      <c r="B42" s="43" t="s">
        <v>125</v>
      </c>
      <c r="C42" s="43"/>
      <c r="D42" s="44" t="s">
        <v>28</v>
      </c>
      <c r="E42" s="45">
        <f>E43</f>
        <v>5040</v>
      </c>
      <c r="F42" s="45">
        <f>F43</f>
        <v>5400</v>
      </c>
      <c r="G42" s="45">
        <f t="shared" ref="G42:S42" si="35">G43</f>
        <v>2880</v>
      </c>
      <c r="H42" s="45">
        <f t="shared" si="35"/>
        <v>2160</v>
      </c>
      <c r="I42" s="45">
        <f t="shared" si="35"/>
        <v>4320</v>
      </c>
      <c r="J42" s="45">
        <f t="shared" si="35"/>
        <v>1800</v>
      </c>
      <c r="K42" s="45">
        <f t="shared" si="35"/>
        <v>3600</v>
      </c>
      <c r="L42" s="45">
        <f t="shared" si="35"/>
        <v>3960</v>
      </c>
      <c r="M42" s="45">
        <f t="shared" si="35"/>
        <v>4320</v>
      </c>
      <c r="N42" s="45">
        <f t="shared" si="35"/>
        <v>3240</v>
      </c>
      <c r="O42" s="45">
        <f t="shared" si="35"/>
        <v>5400</v>
      </c>
      <c r="P42" s="45">
        <f t="shared" si="35"/>
        <v>0</v>
      </c>
      <c r="Q42" s="45">
        <f t="shared" si="35"/>
        <v>720</v>
      </c>
      <c r="R42" s="45">
        <f t="shared" si="35"/>
        <v>2160</v>
      </c>
      <c r="S42" s="45">
        <f t="shared" si="35"/>
        <v>1800</v>
      </c>
      <c r="T42" s="45">
        <f t="shared" si="26"/>
        <v>46800</v>
      </c>
      <c r="U42" s="46"/>
    </row>
    <row r="43" spans="1:21">
      <c r="A43" s="42" t="s">
        <v>120</v>
      </c>
      <c r="B43" s="43" t="s">
        <v>127</v>
      </c>
      <c r="C43" s="43" t="s">
        <v>35</v>
      </c>
      <c r="D43" s="44" t="s">
        <v>36</v>
      </c>
      <c r="E43" s="47">
        <f>420*12</f>
        <v>5040</v>
      </c>
      <c r="F43" s="47">
        <f>450*12</f>
        <v>5400</v>
      </c>
      <c r="G43" s="47">
        <f>240*12</f>
        <v>2880</v>
      </c>
      <c r="H43" s="47">
        <f>180*12</f>
        <v>2160</v>
      </c>
      <c r="I43" s="47">
        <f>360*12</f>
        <v>4320</v>
      </c>
      <c r="J43" s="47">
        <f>150*12</f>
        <v>1800</v>
      </c>
      <c r="K43" s="47">
        <f>300*12</f>
        <v>3600</v>
      </c>
      <c r="L43" s="47">
        <f>330*12</f>
        <v>3960</v>
      </c>
      <c r="M43" s="47">
        <f>360*12</f>
        <v>4320</v>
      </c>
      <c r="N43" s="47">
        <f>270*12</f>
        <v>3240</v>
      </c>
      <c r="O43" s="47">
        <f>450*12</f>
        <v>5400</v>
      </c>
      <c r="P43" s="47"/>
      <c r="Q43" s="47">
        <f>60*12</f>
        <v>720</v>
      </c>
      <c r="R43" s="47">
        <f>180*12</f>
        <v>2160</v>
      </c>
      <c r="S43" s="47">
        <f>150*12</f>
        <v>1800</v>
      </c>
      <c r="T43" s="45">
        <f t="shared" si="26"/>
        <v>46800</v>
      </c>
      <c r="U43" s="46"/>
    </row>
    <row r="44" spans="1:21">
      <c r="A44" s="42" t="s">
        <v>122</v>
      </c>
      <c r="B44" s="43" t="s">
        <v>129</v>
      </c>
      <c r="C44" s="43"/>
      <c r="D44" s="44" t="s">
        <v>28</v>
      </c>
      <c r="E44" s="45">
        <f>SUM(E45:E48)</f>
        <v>1200</v>
      </c>
      <c r="F44" s="45">
        <f>SUM(F45:F48)</f>
        <v>5000</v>
      </c>
      <c r="G44" s="45">
        <f t="shared" ref="G44:S44" si="36">SUM(G45:G48)</f>
        <v>3500</v>
      </c>
      <c r="H44" s="45">
        <f t="shared" si="36"/>
        <v>850</v>
      </c>
      <c r="I44" s="45">
        <f t="shared" si="36"/>
        <v>2450</v>
      </c>
      <c r="J44" s="45">
        <f t="shared" si="36"/>
        <v>2050</v>
      </c>
      <c r="K44" s="45">
        <f t="shared" si="36"/>
        <v>4500</v>
      </c>
      <c r="L44" s="45">
        <f t="shared" si="36"/>
        <v>5500</v>
      </c>
      <c r="M44" s="45">
        <f t="shared" si="36"/>
        <v>3650</v>
      </c>
      <c r="N44" s="45">
        <f t="shared" si="36"/>
        <v>2050</v>
      </c>
      <c r="O44" s="45">
        <f t="shared" si="36"/>
        <v>8000</v>
      </c>
      <c r="P44" s="45">
        <f t="shared" si="36"/>
        <v>0</v>
      </c>
      <c r="Q44" s="45">
        <f t="shared" si="36"/>
        <v>750</v>
      </c>
      <c r="R44" s="45">
        <f t="shared" si="36"/>
        <v>2000</v>
      </c>
      <c r="S44" s="45">
        <f t="shared" si="36"/>
        <v>2000</v>
      </c>
      <c r="T44" s="45">
        <f t="shared" si="26"/>
        <v>43500</v>
      </c>
      <c r="U44" s="46"/>
    </row>
    <row r="45" spans="1:21">
      <c r="A45" s="42" t="s">
        <v>124</v>
      </c>
      <c r="B45" s="43" t="s">
        <v>131</v>
      </c>
      <c r="C45" s="43" t="s">
        <v>35</v>
      </c>
      <c r="D45" s="44" t="s">
        <v>132</v>
      </c>
      <c r="E45" s="47">
        <v>1200</v>
      </c>
      <c r="F45" s="47">
        <v>5000</v>
      </c>
      <c r="G45" s="47">
        <v>3500</v>
      </c>
      <c r="H45" s="47">
        <v>850</v>
      </c>
      <c r="I45" s="47">
        <v>2450</v>
      </c>
      <c r="J45" s="47">
        <v>2050</v>
      </c>
      <c r="K45" s="47">
        <v>4500</v>
      </c>
      <c r="L45" s="47">
        <v>5500</v>
      </c>
      <c r="M45" s="47">
        <v>3650</v>
      </c>
      <c r="N45" s="47">
        <v>2050</v>
      </c>
      <c r="O45" s="47">
        <v>8000</v>
      </c>
      <c r="P45" s="47"/>
      <c r="Q45" s="47">
        <v>750</v>
      </c>
      <c r="R45" s="47">
        <v>2000</v>
      </c>
      <c r="S45" s="47">
        <v>2000</v>
      </c>
      <c r="T45" s="45">
        <f t="shared" si="26"/>
        <v>43500</v>
      </c>
      <c r="U45" s="46"/>
    </row>
    <row r="46" spans="1:21" s="50" customFormat="1">
      <c r="A46" s="42" t="s">
        <v>126</v>
      </c>
      <c r="B46" s="49" t="s">
        <v>134</v>
      </c>
      <c r="C46" s="49" t="s">
        <v>35</v>
      </c>
      <c r="D46" s="46" t="s">
        <v>135</v>
      </c>
      <c r="E46" s="55"/>
      <c r="F46" s="55"/>
      <c r="G46" s="55"/>
      <c r="H46" s="55"/>
      <c r="I46" s="55"/>
      <c r="J46" s="55"/>
      <c r="K46" s="55"/>
      <c r="L46" s="55"/>
      <c r="M46" s="55"/>
      <c r="N46" s="55"/>
      <c r="O46" s="55"/>
      <c r="P46" s="55"/>
      <c r="Q46" s="55"/>
      <c r="R46" s="55"/>
      <c r="S46" s="55"/>
      <c r="T46" s="45">
        <f t="shared" si="26"/>
        <v>0</v>
      </c>
      <c r="U46" s="46"/>
    </row>
    <row r="47" spans="1:21" s="50" customFormat="1">
      <c r="A47" s="42" t="s">
        <v>128</v>
      </c>
      <c r="B47" s="49" t="s">
        <v>137</v>
      </c>
      <c r="C47" s="49" t="s">
        <v>35</v>
      </c>
      <c r="D47" s="46" t="s">
        <v>135</v>
      </c>
      <c r="E47" s="55"/>
      <c r="F47" s="55"/>
      <c r="G47" s="55"/>
      <c r="H47" s="55"/>
      <c r="I47" s="55"/>
      <c r="J47" s="55"/>
      <c r="K47" s="55"/>
      <c r="L47" s="55"/>
      <c r="M47" s="55"/>
      <c r="N47" s="55"/>
      <c r="O47" s="55"/>
      <c r="P47" s="55"/>
      <c r="Q47" s="55"/>
      <c r="R47" s="55"/>
      <c r="S47" s="55"/>
      <c r="T47" s="45">
        <f t="shared" si="26"/>
        <v>0</v>
      </c>
      <c r="U47" s="46"/>
    </row>
    <row r="48" spans="1:21" ht="33.75">
      <c r="A48" s="42" t="s">
        <v>130</v>
      </c>
      <c r="B48" s="43" t="s">
        <v>139</v>
      </c>
      <c r="C48" s="43" t="s">
        <v>35</v>
      </c>
      <c r="D48" s="52" t="s">
        <v>140</v>
      </c>
      <c r="E48" s="53"/>
      <c r="F48" s="53"/>
      <c r="G48" s="53"/>
      <c r="H48" s="53"/>
      <c r="I48" s="53"/>
      <c r="J48" s="53"/>
      <c r="K48" s="53"/>
      <c r="L48" s="53"/>
      <c r="M48" s="53"/>
      <c r="N48" s="53"/>
      <c r="O48" s="53"/>
      <c r="P48" s="53"/>
      <c r="Q48" s="53"/>
      <c r="R48" s="53"/>
      <c r="S48" s="53"/>
      <c r="T48" s="45">
        <f t="shared" si="26"/>
        <v>0</v>
      </c>
      <c r="U48" s="52"/>
    </row>
    <row r="49" spans="1:21">
      <c r="A49" s="42" t="s">
        <v>133</v>
      </c>
      <c r="B49" s="43" t="s">
        <v>142</v>
      </c>
      <c r="C49" s="43"/>
      <c r="D49" s="44" t="s">
        <v>28</v>
      </c>
      <c r="E49" s="45">
        <f>E50+E68+E70+E72+E74+E76+E78+E80+E82+E90</f>
        <v>6232388.29</v>
      </c>
      <c r="F49" s="45">
        <f>F50+F68+F70+F72+F74+F76+F78+F80+F82+F90</f>
        <v>3988963.71</v>
      </c>
      <c r="G49" s="45">
        <f t="shared" ref="G49:S49" si="37">G50+G68+G70+G72+G74+G76+G78+G80+G82+G90</f>
        <v>4105498.71</v>
      </c>
      <c r="H49" s="45">
        <f t="shared" si="37"/>
        <v>4485778.57</v>
      </c>
      <c r="I49" s="45">
        <f t="shared" si="37"/>
        <v>13324211.890000001</v>
      </c>
      <c r="J49" s="45">
        <f t="shared" si="37"/>
        <v>2915261.94</v>
      </c>
      <c r="K49" s="45">
        <f t="shared" si="37"/>
        <v>2908334.74</v>
      </c>
      <c r="L49" s="45">
        <f t="shared" si="37"/>
        <v>2522696.6599999997</v>
      </c>
      <c r="M49" s="45">
        <f t="shared" si="37"/>
        <v>2360650.89</v>
      </c>
      <c r="N49" s="45">
        <f t="shared" si="37"/>
        <v>2186214.37</v>
      </c>
      <c r="O49" s="45">
        <f t="shared" si="37"/>
        <v>7156711.21</v>
      </c>
      <c r="P49" s="45">
        <f t="shared" si="37"/>
        <v>240284</v>
      </c>
      <c r="Q49" s="45">
        <f t="shared" si="37"/>
        <v>1088988.1399999999</v>
      </c>
      <c r="R49" s="45">
        <f t="shared" si="37"/>
        <v>4213772.7</v>
      </c>
      <c r="S49" s="45">
        <f t="shared" si="37"/>
        <v>1860539.6600000001</v>
      </c>
      <c r="T49" s="45">
        <f t="shared" si="26"/>
        <v>59590295.480000004</v>
      </c>
      <c r="U49" s="46"/>
    </row>
    <row r="50" spans="1:21">
      <c r="A50" s="42" t="s">
        <v>136</v>
      </c>
      <c r="B50" s="43" t="s">
        <v>144</v>
      </c>
      <c r="C50" s="43"/>
      <c r="D50" s="44" t="s">
        <v>145</v>
      </c>
      <c r="E50" s="45">
        <v>3966400</v>
      </c>
      <c r="F50" s="45">
        <v>2807300</v>
      </c>
      <c r="G50" s="45">
        <v>2696400</v>
      </c>
      <c r="H50" s="45">
        <v>3062340</v>
      </c>
      <c r="I50" s="45">
        <v>10930050</v>
      </c>
      <c r="J50" s="45">
        <v>2211690</v>
      </c>
      <c r="K50" s="45">
        <v>2062060</v>
      </c>
      <c r="L50" s="45">
        <v>1859000</v>
      </c>
      <c r="M50" s="45">
        <v>1716000</v>
      </c>
      <c r="N50" s="45">
        <v>1601600</v>
      </c>
      <c r="O50" s="45">
        <v>5150930</v>
      </c>
      <c r="P50" s="45">
        <v>112000</v>
      </c>
      <c r="Q50" s="45">
        <v>858000</v>
      </c>
      <c r="R50" s="45">
        <v>3296400</v>
      </c>
      <c r="S50" s="45">
        <v>1450020</v>
      </c>
      <c r="T50" s="45">
        <f t="shared" si="26"/>
        <v>43780190</v>
      </c>
      <c r="U50" s="46"/>
    </row>
    <row r="51" spans="1:21">
      <c r="A51" s="42" t="s">
        <v>138</v>
      </c>
      <c r="B51" s="43" t="s">
        <v>147</v>
      </c>
      <c r="C51" s="43" t="s">
        <v>35</v>
      </c>
      <c r="D51" s="56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 s="47"/>
      <c r="R51" s="47"/>
      <c r="S51" s="47"/>
      <c r="T51" s="45">
        <f t="shared" si="26"/>
        <v>0</v>
      </c>
      <c r="U51" s="46"/>
    </row>
    <row r="52" spans="1:21">
      <c r="A52" s="42" t="s">
        <v>141</v>
      </c>
      <c r="B52" s="43" t="s">
        <v>149</v>
      </c>
      <c r="C52" s="43" t="s">
        <v>35</v>
      </c>
      <c r="D52" s="56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 s="47"/>
      <c r="R52" s="47"/>
      <c r="S52" s="47"/>
      <c r="T52" s="45">
        <f t="shared" si="26"/>
        <v>0</v>
      </c>
      <c r="U52" s="46"/>
    </row>
    <row r="53" spans="1:21">
      <c r="A53" s="42" t="s">
        <v>143</v>
      </c>
      <c r="B53" s="43" t="s">
        <v>151</v>
      </c>
      <c r="C53" s="43" t="s">
        <v>35</v>
      </c>
      <c r="D53" s="56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 s="47"/>
      <c r="R53" s="47"/>
      <c r="S53" s="47"/>
      <c r="T53" s="45">
        <f t="shared" si="26"/>
        <v>0</v>
      </c>
      <c r="U53" s="46"/>
    </row>
    <row r="54" spans="1:21">
      <c r="A54" s="42" t="s">
        <v>146</v>
      </c>
      <c r="B54" s="43" t="s">
        <v>153</v>
      </c>
      <c r="C54" s="43" t="s">
        <v>35</v>
      </c>
      <c r="D54" s="56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 s="47"/>
      <c r="R54" s="47"/>
      <c r="S54" s="47"/>
      <c r="T54" s="45">
        <f t="shared" si="26"/>
        <v>0</v>
      </c>
      <c r="U54" s="46"/>
    </row>
    <row r="55" spans="1:21">
      <c r="A55" s="42" t="s">
        <v>148</v>
      </c>
      <c r="B55" s="43" t="s">
        <v>155</v>
      </c>
      <c r="C55" s="43" t="s">
        <v>35</v>
      </c>
      <c r="D55" s="56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 s="47"/>
      <c r="R55" s="47"/>
      <c r="S55" s="47"/>
      <c r="T55" s="45">
        <f t="shared" si="26"/>
        <v>0</v>
      </c>
      <c r="U55" s="46"/>
    </row>
    <row r="56" spans="1:21">
      <c r="A56" s="42" t="s">
        <v>150</v>
      </c>
      <c r="B56" s="43" t="s">
        <v>157</v>
      </c>
      <c r="C56" s="43" t="s">
        <v>35</v>
      </c>
      <c r="D56" s="56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 s="47"/>
      <c r="R56" s="47"/>
      <c r="S56" s="47"/>
      <c r="T56" s="45">
        <f t="shared" si="26"/>
        <v>0</v>
      </c>
      <c r="U56" s="46"/>
    </row>
    <row r="57" spans="1:21">
      <c r="A57" s="42" t="s">
        <v>152</v>
      </c>
      <c r="B57" s="43" t="s">
        <v>159</v>
      </c>
      <c r="C57" s="43" t="s">
        <v>35</v>
      </c>
      <c r="D57" s="56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 s="47"/>
      <c r="R57" s="47"/>
      <c r="S57" s="47"/>
      <c r="T57" s="45">
        <f t="shared" si="26"/>
        <v>0</v>
      </c>
      <c r="U57" s="46"/>
    </row>
    <row r="58" spans="1:21">
      <c r="A58" s="42" t="s">
        <v>154</v>
      </c>
      <c r="B58" s="43" t="s">
        <v>161</v>
      </c>
      <c r="C58" s="43" t="s">
        <v>35</v>
      </c>
      <c r="D58" s="56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 s="47"/>
      <c r="R58" s="47"/>
      <c r="S58" s="47"/>
      <c r="T58" s="45">
        <f t="shared" ref="T58:T89" si="38">SUM(E58:S58)</f>
        <v>0</v>
      </c>
      <c r="U58" s="46"/>
    </row>
    <row r="59" spans="1:21">
      <c r="A59" s="42" t="s">
        <v>156</v>
      </c>
      <c r="B59" s="43" t="s">
        <v>163</v>
      </c>
      <c r="C59" s="43" t="s">
        <v>35</v>
      </c>
      <c r="D59" s="56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 s="47"/>
      <c r="R59" s="47"/>
      <c r="S59" s="47"/>
      <c r="T59" s="45">
        <f t="shared" si="38"/>
        <v>0</v>
      </c>
      <c r="U59" s="46"/>
    </row>
    <row r="60" spans="1:21">
      <c r="A60" s="42" t="s">
        <v>158</v>
      </c>
      <c r="B60" s="43" t="s">
        <v>360</v>
      </c>
      <c r="C60" s="43" t="s">
        <v>361</v>
      </c>
      <c r="D60" s="56" t="s">
        <v>362</v>
      </c>
      <c r="E60" s="47">
        <v>198320</v>
      </c>
      <c r="F60" s="47">
        <v>140365</v>
      </c>
      <c r="G60" s="47">
        <v>134820</v>
      </c>
      <c r="H60" s="47">
        <v>153117</v>
      </c>
      <c r="I60" s="47">
        <v>546502.5</v>
      </c>
      <c r="J60" s="47">
        <v>110584.5</v>
      </c>
      <c r="K60" s="47">
        <v>97383</v>
      </c>
      <c r="L60" s="47">
        <v>64922</v>
      </c>
      <c r="M60" s="47">
        <v>72501</v>
      </c>
      <c r="N60" s="47">
        <v>73359</v>
      </c>
      <c r="O60" s="47">
        <v>257546.5</v>
      </c>
      <c r="P60" s="47">
        <v>5600</v>
      </c>
      <c r="Q60" s="47">
        <v>23452</v>
      </c>
      <c r="R60" s="47">
        <v>164820</v>
      </c>
      <c r="S60" s="47">
        <v>66638</v>
      </c>
      <c r="T60" s="45">
        <f t="shared" si="38"/>
        <v>2109930.5</v>
      </c>
      <c r="U60" s="46"/>
    </row>
    <row r="61" spans="1:21">
      <c r="A61" s="42" t="s">
        <v>160</v>
      </c>
      <c r="B61" s="43" t="s">
        <v>169</v>
      </c>
      <c r="C61" s="43" t="s">
        <v>35</v>
      </c>
      <c r="D61" s="56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 s="47"/>
      <c r="R61" s="47"/>
      <c r="S61" s="47"/>
      <c r="T61" s="45">
        <f t="shared" si="38"/>
        <v>0</v>
      </c>
      <c r="U61" s="46"/>
    </row>
    <row r="62" spans="1:21">
      <c r="A62" s="42" t="s">
        <v>162</v>
      </c>
      <c r="B62" s="43" t="s">
        <v>171</v>
      </c>
      <c r="C62" s="43" t="s">
        <v>35</v>
      </c>
      <c r="D62" s="56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 s="47"/>
      <c r="R62" s="47"/>
      <c r="S62" s="47"/>
      <c r="T62" s="45">
        <f t="shared" si="38"/>
        <v>0</v>
      </c>
      <c r="U62" s="46"/>
    </row>
    <row r="63" spans="1:21">
      <c r="A63" s="42" t="s">
        <v>164</v>
      </c>
      <c r="B63" s="43" t="s">
        <v>173</v>
      </c>
      <c r="C63" s="43" t="s">
        <v>35</v>
      </c>
      <c r="D63" s="56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 s="47"/>
      <c r="R63" s="47"/>
      <c r="S63" s="47"/>
      <c r="T63" s="45">
        <f t="shared" si="38"/>
        <v>0</v>
      </c>
      <c r="U63" s="46"/>
    </row>
    <row r="64" spans="1:21">
      <c r="A64" s="42" t="s">
        <v>168</v>
      </c>
      <c r="B64" s="43" t="s">
        <v>175</v>
      </c>
      <c r="C64" s="43" t="s">
        <v>35</v>
      </c>
      <c r="D64" s="56"/>
      <c r="E64" s="47"/>
      <c r="F64" s="47"/>
      <c r="G64" s="47"/>
      <c r="H64" s="47"/>
      <c r="I64" s="47"/>
      <c r="J64" s="47"/>
      <c r="K64" s="47"/>
      <c r="L64" s="47"/>
      <c r="M64" s="47"/>
      <c r="N64" s="47"/>
      <c r="O64" s="47"/>
      <c r="P64" s="47"/>
      <c r="Q64" s="47"/>
      <c r="R64" s="47"/>
      <c r="S64" s="47"/>
      <c r="T64" s="45">
        <f t="shared" si="38"/>
        <v>0</v>
      </c>
      <c r="U64" s="46"/>
    </row>
    <row r="65" spans="1:21">
      <c r="A65" s="42" t="s">
        <v>170</v>
      </c>
      <c r="B65" s="43" t="s">
        <v>177</v>
      </c>
      <c r="C65" s="43" t="s">
        <v>35</v>
      </c>
      <c r="D65" s="56"/>
      <c r="E65" s="47"/>
      <c r="F65" s="47"/>
      <c r="G65" s="47"/>
      <c r="H65" s="47"/>
      <c r="I65" s="47"/>
      <c r="J65" s="47"/>
      <c r="K65" s="47"/>
      <c r="L65" s="47"/>
      <c r="M65" s="47"/>
      <c r="N65" s="47"/>
      <c r="O65" s="47"/>
      <c r="P65" s="47"/>
      <c r="Q65" s="47"/>
      <c r="R65" s="47"/>
      <c r="S65" s="47"/>
      <c r="T65" s="45">
        <f t="shared" si="38"/>
        <v>0</v>
      </c>
      <c r="U65" s="46"/>
    </row>
    <row r="66" spans="1:21">
      <c r="A66" s="42" t="s">
        <v>172</v>
      </c>
      <c r="B66" s="43" t="s">
        <v>179</v>
      </c>
      <c r="C66" s="43" t="s">
        <v>35</v>
      </c>
      <c r="D66" s="56"/>
      <c r="E66" s="47"/>
      <c r="F66" s="47"/>
      <c r="G66" s="47"/>
      <c r="H66" s="47"/>
      <c r="I66" s="47"/>
      <c r="J66" s="47"/>
      <c r="K66" s="47"/>
      <c r="L66" s="47"/>
      <c r="M66" s="47"/>
      <c r="N66" s="47"/>
      <c r="O66" s="47"/>
      <c r="P66" s="47"/>
      <c r="Q66" s="47"/>
      <c r="R66" s="47"/>
      <c r="S66" s="47"/>
      <c r="T66" s="45">
        <f t="shared" si="38"/>
        <v>0</v>
      </c>
      <c r="U66" s="46"/>
    </row>
    <row r="67" spans="1:21">
      <c r="A67" s="42" t="s">
        <v>174</v>
      </c>
      <c r="B67" s="43" t="s">
        <v>181</v>
      </c>
      <c r="C67" s="43" t="s">
        <v>35</v>
      </c>
      <c r="D67" s="56"/>
      <c r="E67" s="47">
        <f>[1]明细!C22</f>
        <v>0</v>
      </c>
      <c r="F67" s="47">
        <f>[1]明细!D22</f>
        <v>0</v>
      </c>
      <c r="G67" s="47">
        <f>[1]明细!E22</f>
        <v>0</v>
      </c>
      <c r="H67" s="47">
        <f>[1]明细!F22</f>
        <v>0</v>
      </c>
      <c r="I67" s="47">
        <f>[1]明细!G22</f>
        <v>0</v>
      </c>
      <c r="J67" s="47">
        <f>[1]明细!H22</f>
        <v>0</v>
      </c>
      <c r="K67" s="47">
        <f>[1]明细!I22</f>
        <v>0</v>
      </c>
      <c r="L67" s="47">
        <f>[1]明细!J22</f>
        <v>0</v>
      </c>
      <c r="M67" s="47">
        <f>[1]明细!K22</f>
        <v>0</v>
      </c>
      <c r="N67" s="47">
        <f>[1]明细!L22</f>
        <v>0</v>
      </c>
      <c r="O67" s="47">
        <f>[1]明细!M22</f>
        <v>0</v>
      </c>
      <c r="P67" s="47">
        <f>[1]明细!N22</f>
        <v>0</v>
      </c>
      <c r="Q67" s="47">
        <f>[1]明细!O22</f>
        <v>0</v>
      </c>
      <c r="R67" s="47">
        <f>[1]明细!P22</f>
        <v>0</v>
      </c>
      <c r="S67" s="47">
        <f>[1]明细!Q22</f>
        <v>0</v>
      </c>
      <c r="T67" s="45">
        <f t="shared" si="38"/>
        <v>0</v>
      </c>
      <c r="U67" s="46"/>
    </row>
    <row r="68" spans="1:21">
      <c r="A68" s="42" t="s">
        <v>176</v>
      </c>
      <c r="B68" s="43" t="s">
        <v>183</v>
      </c>
      <c r="C68" s="43"/>
      <c r="D68" s="44"/>
      <c r="E68" s="45">
        <f>E69</f>
        <v>46800</v>
      </c>
      <c r="F68" s="45">
        <f>F69</f>
        <v>30400</v>
      </c>
      <c r="G68" s="45">
        <f t="shared" ref="G68:S68" si="39">G69</f>
        <v>32000</v>
      </c>
      <c r="H68" s="45">
        <f t="shared" si="39"/>
        <v>37600</v>
      </c>
      <c r="I68" s="45">
        <f t="shared" si="39"/>
        <v>80000</v>
      </c>
      <c r="J68" s="45">
        <f t="shared" si="39"/>
        <v>21200</v>
      </c>
      <c r="K68" s="45">
        <f t="shared" si="39"/>
        <v>22800</v>
      </c>
      <c r="L68" s="45">
        <f t="shared" si="39"/>
        <v>19200</v>
      </c>
      <c r="M68" s="45">
        <f t="shared" si="39"/>
        <v>17200</v>
      </c>
      <c r="N68" s="45">
        <f t="shared" si="39"/>
        <v>18000</v>
      </c>
      <c r="O68" s="45">
        <f t="shared" si="39"/>
        <v>56000</v>
      </c>
      <c r="P68" s="45">
        <f t="shared" si="39"/>
        <v>2000</v>
      </c>
      <c r="Q68" s="45">
        <f t="shared" si="39"/>
        <v>5200</v>
      </c>
      <c r="R68" s="45">
        <f t="shared" si="39"/>
        <v>28000</v>
      </c>
      <c r="S68" s="45">
        <f t="shared" si="39"/>
        <v>12000</v>
      </c>
      <c r="T68" s="45">
        <f t="shared" si="38"/>
        <v>428400</v>
      </c>
      <c r="U68" s="46"/>
    </row>
    <row r="69" spans="1:21" s="50" customFormat="1" ht="22.5">
      <c r="A69" s="42" t="s">
        <v>178</v>
      </c>
      <c r="B69" s="49" t="s">
        <v>185</v>
      </c>
      <c r="C69" s="49" t="s">
        <v>35</v>
      </c>
      <c r="D69" s="57" t="s">
        <v>186</v>
      </c>
      <c r="E69" s="45">
        <f>E93*400</f>
        <v>46800</v>
      </c>
      <c r="F69" s="45">
        <f>F93*400</f>
        <v>30400</v>
      </c>
      <c r="G69" s="45">
        <f t="shared" ref="G69:S69" si="40">G93*400</f>
        <v>32000</v>
      </c>
      <c r="H69" s="45">
        <f t="shared" si="40"/>
        <v>37600</v>
      </c>
      <c r="I69" s="45">
        <f t="shared" si="40"/>
        <v>80000</v>
      </c>
      <c r="J69" s="45">
        <f t="shared" si="40"/>
        <v>21200</v>
      </c>
      <c r="K69" s="45">
        <f t="shared" si="40"/>
        <v>22800</v>
      </c>
      <c r="L69" s="45">
        <f t="shared" si="40"/>
        <v>19200</v>
      </c>
      <c r="M69" s="45">
        <f t="shared" si="40"/>
        <v>17200</v>
      </c>
      <c r="N69" s="45">
        <f t="shared" si="40"/>
        <v>18000</v>
      </c>
      <c r="O69" s="45">
        <f t="shared" si="40"/>
        <v>56000</v>
      </c>
      <c r="P69" s="45">
        <f t="shared" si="40"/>
        <v>2000</v>
      </c>
      <c r="Q69" s="45">
        <f t="shared" si="40"/>
        <v>5200</v>
      </c>
      <c r="R69" s="45">
        <f t="shared" si="40"/>
        <v>28000</v>
      </c>
      <c r="S69" s="45">
        <f t="shared" si="40"/>
        <v>12000</v>
      </c>
      <c r="T69" s="45">
        <f t="shared" si="38"/>
        <v>428400</v>
      </c>
      <c r="U69" s="46"/>
    </row>
    <row r="70" spans="1:21">
      <c r="A70" s="42" t="s">
        <v>180</v>
      </c>
      <c r="B70" s="43" t="s">
        <v>188</v>
      </c>
      <c r="C70" s="43"/>
      <c r="D70" s="44" t="s">
        <v>28</v>
      </c>
      <c r="E70" s="45">
        <f>E71</f>
        <v>489330</v>
      </c>
      <c r="F70" s="45">
        <f>F71</f>
        <v>135690</v>
      </c>
      <c r="G70" s="45">
        <f t="shared" ref="G70:S70" si="41">G71</f>
        <v>204405</v>
      </c>
      <c r="H70" s="45">
        <f t="shared" si="41"/>
        <v>268530</v>
      </c>
      <c r="I70" s="45">
        <f t="shared" si="41"/>
        <v>386583.60000000003</v>
      </c>
      <c r="J70" s="45">
        <f t="shared" si="41"/>
        <v>196585.65</v>
      </c>
      <c r="K70" s="45">
        <f t="shared" si="41"/>
        <v>205953.60000000003</v>
      </c>
      <c r="L70" s="45">
        <f t="shared" si="41"/>
        <v>99419.4</v>
      </c>
      <c r="M70" s="45">
        <f t="shared" si="41"/>
        <v>172176.15</v>
      </c>
      <c r="N70" s="45">
        <f t="shared" si="41"/>
        <v>136753.79999999999</v>
      </c>
      <c r="O70" s="45">
        <f t="shared" si="41"/>
        <v>509998.35</v>
      </c>
      <c r="P70" s="45">
        <f t="shared" si="41"/>
        <v>34500</v>
      </c>
      <c r="Q70" s="45">
        <f t="shared" si="41"/>
        <v>65355</v>
      </c>
      <c r="R70" s="45">
        <f t="shared" si="41"/>
        <v>199268.7</v>
      </c>
      <c r="S70" s="45">
        <f t="shared" si="41"/>
        <v>59392.800000000003</v>
      </c>
      <c r="T70" s="45">
        <f t="shared" si="38"/>
        <v>3163942.05</v>
      </c>
      <c r="U70" s="46"/>
    </row>
    <row r="71" spans="1:21" s="50" customFormat="1">
      <c r="A71" s="42" t="s">
        <v>182</v>
      </c>
      <c r="B71" s="49" t="s">
        <v>190</v>
      </c>
      <c r="C71" s="49" t="s">
        <v>35</v>
      </c>
      <c r="D71" s="57" t="s">
        <v>191</v>
      </c>
      <c r="E71" s="45">
        <f>E105*15</f>
        <v>489330</v>
      </c>
      <c r="F71" s="45">
        <f>F105*15</f>
        <v>135690</v>
      </c>
      <c r="G71" s="45">
        <f t="shared" ref="G71:S71" si="42">G105*15</f>
        <v>204405</v>
      </c>
      <c r="H71" s="45">
        <f t="shared" si="42"/>
        <v>268530</v>
      </c>
      <c r="I71" s="45">
        <f t="shared" si="42"/>
        <v>386583.60000000003</v>
      </c>
      <c r="J71" s="45">
        <f t="shared" si="42"/>
        <v>196585.65</v>
      </c>
      <c r="K71" s="45">
        <f t="shared" si="42"/>
        <v>205953.60000000003</v>
      </c>
      <c r="L71" s="45">
        <f t="shared" si="42"/>
        <v>99419.4</v>
      </c>
      <c r="M71" s="45">
        <f t="shared" si="42"/>
        <v>172176.15</v>
      </c>
      <c r="N71" s="45">
        <f t="shared" si="42"/>
        <v>136753.79999999999</v>
      </c>
      <c r="O71" s="45">
        <f t="shared" si="42"/>
        <v>509998.35</v>
      </c>
      <c r="P71" s="45">
        <f t="shared" si="42"/>
        <v>34500</v>
      </c>
      <c r="Q71" s="45">
        <f t="shared" si="42"/>
        <v>65355</v>
      </c>
      <c r="R71" s="45">
        <f t="shared" si="42"/>
        <v>199268.7</v>
      </c>
      <c r="S71" s="45">
        <f t="shared" si="42"/>
        <v>59392.800000000003</v>
      </c>
      <c r="T71" s="45">
        <f t="shared" si="38"/>
        <v>3163942.05</v>
      </c>
      <c r="U71" s="46"/>
    </row>
    <row r="72" spans="1:21">
      <c r="A72" s="42" t="s">
        <v>184</v>
      </c>
      <c r="B72" s="43" t="s">
        <v>193</v>
      </c>
      <c r="C72" s="43"/>
      <c r="D72" s="44" t="s">
        <v>28</v>
      </c>
      <c r="E72" s="45">
        <f>E73</f>
        <v>238592</v>
      </c>
      <c r="F72" s="45">
        <f>F73</f>
        <v>69296</v>
      </c>
      <c r="G72" s="45">
        <f t="shared" ref="G72:S72" si="43">G73</f>
        <v>64000</v>
      </c>
      <c r="H72" s="45">
        <f t="shared" si="43"/>
        <v>64000</v>
      </c>
      <c r="I72" s="45">
        <f t="shared" si="43"/>
        <v>126840</v>
      </c>
      <c r="J72" s="45">
        <f t="shared" si="43"/>
        <v>37352</v>
      </c>
      <c r="K72" s="45">
        <f t="shared" si="43"/>
        <v>51136</v>
      </c>
      <c r="L72" s="45">
        <f t="shared" si="43"/>
        <v>37310.400000000001</v>
      </c>
      <c r="M72" s="45">
        <f t="shared" si="43"/>
        <v>52681.599999999999</v>
      </c>
      <c r="N72" s="45">
        <f t="shared" si="43"/>
        <v>24480</v>
      </c>
      <c r="O72" s="45">
        <f t="shared" si="43"/>
        <v>168480</v>
      </c>
      <c r="P72" s="45">
        <f t="shared" si="43"/>
        <v>0</v>
      </c>
      <c r="Q72" s="45">
        <f t="shared" si="43"/>
        <v>12040</v>
      </c>
      <c r="R72" s="45">
        <f t="shared" si="43"/>
        <v>54272</v>
      </c>
      <c r="S72" s="45">
        <f t="shared" si="43"/>
        <v>32104</v>
      </c>
      <c r="T72" s="45">
        <f t="shared" si="38"/>
        <v>1032584</v>
      </c>
      <c r="U72" s="46"/>
    </row>
    <row r="73" spans="1:21" s="50" customFormat="1">
      <c r="A73" s="42" t="s">
        <v>187</v>
      </c>
      <c r="B73" s="49" t="s">
        <v>195</v>
      </c>
      <c r="C73" s="49" t="s">
        <v>35</v>
      </c>
      <c r="D73" s="57" t="s">
        <v>196</v>
      </c>
      <c r="E73" s="45">
        <f>E106*8</f>
        <v>238592</v>
      </c>
      <c r="F73" s="45">
        <f>F106*8</f>
        <v>69296</v>
      </c>
      <c r="G73" s="45">
        <f t="shared" ref="G73:S73" si="44">G106*8</f>
        <v>64000</v>
      </c>
      <c r="H73" s="45">
        <f t="shared" si="44"/>
        <v>64000</v>
      </c>
      <c r="I73" s="45">
        <f t="shared" si="44"/>
        <v>126840</v>
      </c>
      <c r="J73" s="45">
        <f t="shared" si="44"/>
        <v>37352</v>
      </c>
      <c r="K73" s="45">
        <f t="shared" si="44"/>
        <v>51136</v>
      </c>
      <c r="L73" s="45">
        <f t="shared" si="44"/>
        <v>37310.400000000001</v>
      </c>
      <c r="M73" s="45">
        <f t="shared" si="44"/>
        <v>52681.599999999999</v>
      </c>
      <c r="N73" s="45">
        <f t="shared" si="44"/>
        <v>24480</v>
      </c>
      <c r="O73" s="45">
        <f t="shared" si="44"/>
        <v>168480</v>
      </c>
      <c r="P73" s="45">
        <f t="shared" si="44"/>
        <v>0</v>
      </c>
      <c r="Q73" s="45">
        <f t="shared" si="44"/>
        <v>12040</v>
      </c>
      <c r="R73" s="45">
        <f t="shared" si="44"/>
        <v>54272</v>
      </c>
      <c r="S73" s="45">
        <f t="shared" si="44"/>
        <v>32104</v>
      </c>
      <c r="T73" s="45">
        <f t="shared" si="38"/>
        <v>1032584</v>
      </c>
      <c r="U73" s="46"/>
    </row>
    <row r="74" spans="1:21">
      <c r="A74" s="42" t="s">
        <v>189</v>
      </c>
      <c r="B74" s="43" t="s">
        <v>198</v>
      </c>
      <c r="C74" s="43"/>
      <c r="D74" s="44" t="s">
        <v>28</v>
      </c>
      <c r="E74" s="45">
        <f>E75</f>
        <v>0</v>
      </c>
      <c r="F74" s="45">
        <f>F75</f>
        <v>0</v>
      </c>
      <c r="G74" s="45">
        <f t="shared" ref="G74:S74" si="45">G75</f>
        <v>0</v>
      </c>
      <c r="H74" s="45">
        <f t="shared" si="45"/>
        <v>0</v>
      </c>
      <c r="I74" s="45">
        <f t="shared" si="45"/>
        <v>0</v>
      </c>
      <c r="J74" s="45">
        <f t="shared" si="45"/>
        <v>0</v>
      </c>
      <c r="K74" s="45">
        <f t="shared" si="45"/>
        <v>0</v>
      </c>
      <c r="L74" s="45">
        <f t="shared" si="45"/>
        <v>0</v>
      </c>
      <c r="M74" s="45">
        <f t="shared" si="45"/>
        <v>0</v>
      </c>
      <c r="N74" s="45">
        <f t="shared" si="45"/>
        <v>0</v>
      </c>
      <c r="O74" s="45">
        <f t="shared" si="45"/>
        <v>0</v>
      </c>
      <c r="P74" s="45">
        <f t="shared" si="45"/>
        <v>0</v>
      </c>
      <c r="Q74" s="45">
        <f t="shared" si="45"/>
        <v>0</v>
      </c>
      <c r="R74" s="45">
        <f t="shared" si="45"/>
        <v>0</v>
      </c>
      <c r="S74" s="45">
        <f t="shared" si="45"/>
        <v>0</v>
      </c>
      <c r="T74" s="45">
        <f t="shared" si="38"/>
        <v>0</v>
      </c>
      <c r="U74" s="46"/>
    </row>
    <row r="75" spans="1:21" s="50" customFormat="1">
      <c r="A75" s="42" t="s">
        <v>192</v>
      </c>
      <c r="B75" s="49" t="s">
        <v>200</v>
      </c>
      <c r="C75" s="49" t="s">
        <v>35</v>
      </c>
      <c r="D75" s="57" t="s">
        <v>135</v>
      </c>
      <c r="E75" s="55"/>
      <c r="F75" s="55"/>
      <c r="G75" s="55"/>
      <c r="H75" s="55"/>
      <c r="I75" s="55"/>
      <c r="J75" s="55"/>
      <c r="K75" s="55"/>
      <c r="L75" s="55"/>
      <c r="M75" s="55"/>
      <c r="N75" s="55"/>
      <c r="O75" s="55"/>
      <c r="P75" s="55"/>
      <c r="Q75" s="55"/>
      <c r="R75" s="55"/>
      <c r="S75" s="55"/>
      <c r="T75" s="45">
        <f t="shared" si="38"/>
        <v>0</v>
      </c>
      <c r="U75" s="46"/>
    </row>
    <row r="76" spans="1:21">
      <c r="A76" s="42" t="s">
        <v>194</v>
      </c>
      <c r="B76" s="43" t="s">
        <v>202</v>
      </c>
      <c r="C76" s="43"/>
      <c r="D76" s="44" t="s">
        <v>28</v>
      </c>
      <c r="E76" s="45">
        <f>E77</f>
        <v>505440</v>
      </c>
      <c r="F76" s="45">
        <f>F77</f>
        <v>328320</v>
      </c>
      <c r="G76" s="45">
        <f t="shared" ref="G76:S76" si="46">G77</f>
        <v>345600</v>
      </c>
      <c r="H76" s="45">
        <f t="shared" si="46"/>
        <v>406080</v>
      </c>
      <c r="I76" s="45">
        <f t="shared" si="46"/>
        <v>864000</v>
      </c>
      <c r="J76" s="45">
        <f t="shared" si="46"/>
        <v>228960</v>
      </c>
      <c r="K76" s="45">
        <f t="shared" si="46"/>
        <v>246240</v>
      </c>
      <c r="L76" s="45">
        <f t="shared" si="46"/>
        <v>207360</v>
      </c>
      <c r="M76" s="45">
        <f t="shared" si="46"/>
        <v>185760</v>
      </c>
      <c r="N76" s="45">
        <f t="shared" si="46"/>
        <v>194400</v>
      </c>
      <c r="O76" s="45">
        <f t="shared" si="46"/>
        <v>604800</v>
      </c>
      <c r="P76" s="45">
        <f t="shared" si="46"/>
        <v>21600</v>
      </c>
      <c r="Q76" s="45">
        <f t="shared" si="46"/>
        <v>56160</v>
      </c>
      <c r="R76" s="45">
        <f t="shared" si="46"/>
        <v>302400</v>
      </c>
      <c r="S76" s="45">
        <f t="shared" si="46"/>
        <v>129600</v>
      </c>
      <c r="T76" s="45">
        <f t="shared" si="38"/>
        <v>4626720</v>
      </c>
      <c r="U76" s="46"/>
    </row>
    <row r="77" spans="1:21" s="50" customFormat="1" ht="22.5">
      <c r="A77" s="42" t="s">
        <v>197</v>
      </c>
      <c r="B77" s="49" t="s">
        <v>204</v>
      </c>
      <c r="C77" s="49" t="s">
        <v>35</v>
      </c>
      <c r="D77" s="57" t="s">
        <v>205</v>
      </c>
      <c r="E77" s="45">
        <f>E93*4320</f>
        <v>505440</v>
      </c>
      <c r="F77" s="45">
        <f>F93*4320</f>
        <v>328320</v>
      </c>
      <c r="G77" s="45">
        <f t="shared" ref="G77:S77" si="47">G93*4320</f>
        <v>345600</v>
      </c>
      <c r="H77" s="45">
        <f t="shared" si="47"/>
        <v>406080</v>
      </c>
      <c r="I77" s="45">
        <f t="shared" si="47"/>
        <v>864000</v>
      </c>
      <c r="J77" s="45">
        <f t="shared" si="47"/>
        <v>228960</v>
      </c>
      <c r="K77" s="45">
        <f t="shared" si="47"/>
        <v>246240</v>
      </c>
      <c r="L77" s="45">
        <f t="shared" si="47"/>
        <v>207360</v>
      </c>
      <c r="M77" s="45">
        <f t="shared" si="47"/>
        <v>185760</v>
      </c>
      <c r="N77" s="45">
        <f t="shared" si="47"/>
        <v>194400</v>
      </c>
      <c r="O77" s="45">
        <f t="shared" si="47"/>
        <v>604800</v>
      </c>
      <c r="P77" s="45">
        <f t="shared" si="47"/>
        <v>21600</v>
      </c>
      <c r="Q77" s="45">
        <f t="shared" si="47"/>
        <v>56160</v>
      </c>
      <c r="R77" s="45">
        <f t="shared" si="47"/>
        <v>302400</v>
      </c>
      <c r="S77" s="45">
        <f t="shared" si="47"/>
        <v>129600</v>
      </c>
      <c r="T77" s="45">
        <f t="shared" si="38"/>
        <v>4626720</v>
      </c>
      <c r="U77" s="46"/>
    </row>
    <row r="78" spans="1:21">
      <c r="A78" s="42" t="s">
        <v>199</v>
      </c>
      <c r="B78" s="43" t="s">
        <v>207</v>
      </c>
      <c r="C78" s="43"/>
      <c r="D78" s="44" t="s">
        <v>28</v>
      </c>
      <c r="E78" s="45">
        <f>E79</f>
        <v>533746.29</v>
      </c>
      <c r="F78" s="45">
        <f>F79</f>
        <v>349957.71</v>
      </c>
      <c r="G78" s="45">
        <f t="shared" ref="G78:S78" si="48">G79</f>
        <v>358213.71</v>
      </c>
      <c r="H78" s="45">
        <f t="shared" si="48"/>
        <v>398108.57</v>
      </c>
      <c r="I78" s="45">
        <f t="shared" si="48"/>
        <v>797218.29</v>
      </c>
      <c r="J78" s="45">
        <f t="shared" si="48"/>
        <v>187474.29</v>
      </c>
      <c r="K78" s="45">
        <f t="shared" si="48"/>
        <v>236225.14</v>
      </c>
      <c r="L78" s="45">
        <f t="shared" si="48"/>
        <v>188166.86</v>
      </c>
      <c r="M78" s="45">
        <f t="shared" si="48"/>
        <v>165953.14000000001</v>
      </c>
      <c r="N78" s="45">
        <f t="shared" si="48"/>
        <v>174260.57</v>
      </c>
      <c r="O78" s="45">
        <f t="shared" si="48"/>
        <v>625062.86</v>
      </c>
      <c r="P78" s="45">
        <f t="shared" si="48"/>
        <v>24024</v>
      </c>
      <c r="Q78" s="45">
        <f t="shared" si="48"/>
        <v>60233.14</v>
      </c>
      <c r="R78" s="45">
        <f t="shared" si="48"/>
        <v>296712</v>
      </c>
      <c r="S78" s="45">
        <f t="shared" si="48"/>
        <v>102942.86</v>
      </c>
      <c r="T78" s="45">
        <f t="shared" si="38"/>
        <v>4498299.4300000006</v>
      </c>
      <c r="U78" s="46"/>
    </row>
    <row r="79" spans="1:21" s="50" customFormat="1">
      <c r="A79" s="42" t="s">
        <v>201</v>
      </c>
      <c r="B79" s="49" t="s">
        <v>209</v>
      </c>
      <c r="C79" s="49" t="s">
        <v>35</v>
      </c>
      <c r="D79" s="46" t="s">
        <v>51</v>
      </c>
      <c r="E79" s="45">
        <f>ROUND(E28/0.07*0.02,2)</f>
        <v>533746.29</v>
      </c>
      <c r="F79" s="45">
        <f>ROUND(F28/0.07*0.02,2)</f>
        <v>349957.71</v>
      </c>
      <c r="G79" s="45">
        <f t="shared" ref="G79:S79" si="49">ROUND(G28/0.07*0.02,2)</f>
        <v>358213.71</v>
      </c>
      <c r="H79" s="45">
        <f t="shared" si="49"/>
        <v>398108.57</v>
      </c>
      <c r="I79" s="45">
        <f t="shared" si="49"/>
        <v>797218.29</v>
      </c>
      <c r="J79" s="45">
        <f t="shared" si="49"/>
        <v>187474.29</v>
      </c>
      <c r="K79" s="45">
        <f t="shared" si="49"/>
        <v>236225.14</v>
      </c>
      <c r="L79" s="45">
        <f t="shared" si="49"/>
        <v>188166.86</v>
      </c>
      <c r="M79" s="45">
        <f t="shared" si="49"/>
        <v>165953.14000000001</v>
      </c>
      <c r="N79" s="45">
        <f t="shared" si="49"/>
        <v>174260.57</v>
      </c>
      <c r="O79" s="45">
        <f t="shared" si="49"/>
        <v>625062.86</v>
      </c>
      <c r="P79" s="45">
        <f t="shared" si="49"/>
        <v>24024</v>
      </c>
      <c r="Q79" s="45">
        <f t="shared" si="49"/>
        <v>60233.14</v>
      </c>
      <c r="R79" s="45">
        <f t="shared" si="49"/>
        <v>296712</v>
      </c>
      <c r="S79" s="45">
        <f t="shared" si="49"/>
        <v>102942.86</v>
      </c>
      <c r="T79" s="45">
        <f t="shared" si="38"/>
        <v>4498299.4300000006</v>
      </c>
      <c r="U79" s="46"/>
    </row>
    <row r="80" spans="1:21">
      <c r="A80" s="42" t="s">
        <v>203</v>
      </c>
      <c r="B80" s="43" t="s">
        <v>211</v>
      </c>
      <c r="C80" s="43"/>
      <c r="D80" s="44" t="s">
        <v>28</v>
      </c>
      <c r="E80" s="45">
        <f>E81</f>
        <v>32000</v>
      </c>
      <c r="F80" s="45">
        <f>F81</f>
        <v>32000</v>
      </c>
      <c r="G80" s="45">
        <f t="shared" ref="G80:S80" si="50">G81</f>
        <v>32000</v>
      </c>
      <c r="H80" s="45">
        <f t="shared" si="50"/>
        <v>32000</v>
      </c>
      <c r="I80" s="45">
        <f t="shared" si="50"/>
        <v>64000</v>
      </c>
      <c r="J80" s="45">
        <f t="shared" si="50"/>
        <v>0</v>
      </c>
      <c r="K80" s="45">
        <f t="shared" si="50"/>
        <v>32000</v>
      </c>
      <c r="L80" s="45">
        <f t="shared" si="50"/>
        <v>32000</v>
      </c>
      <c r="M80" s="45">
        <f t="shared" si="50"/>
        <v>0</v>
      </c>
      <c r="N80" s="45">
        <f t="shared" si="50"/>
        <v>0</v>
      </c>
      <c r="O80" s="45">
        <f t="shared" si="50"/>
        <v>32000</v>
      </c>
      <c r="P80" s="45">
        <f t="shared" si="50"/>
        <v>32000</v>
      </c>
      <c r="Q80" s="45">
        <f t="shared" si="50"/>
        <v>0</v>
      </c>
      <c r="R80" s="45">
        <f t="shared" si="50"/>
        <v>0</v>
      </c>
      <c r="S80" s="45">
        <f t="shared" si="50"/>
        <v>0</v>
      </c>
      <c r="T80" s="45">
        <f t="shared" si="38"/>
        <v>320000</v>
      </c>
      <c r="U80" s="46"/>
    </row>
    <row r="81" spans="1:21" ht="33.75">
      <c r="A81" s="42" t="s">
        <v>206</v>
      </c>
      <c r="B81" s="43" t="s">
        <v>213</v>
      </c>
      <c r="C81" s="43" t="s">
        <v>35</v>
      </c>
      <c r="D81" s="56" t="s">
        <v>214</v>
      </c>
      <c r="E81" s="47">
        <v>32000</v>
      </c>
      <c r="F81" s="47">
        <v>32000</v>
      </c>
      <c r="G81" s="47">
        <v>32000</v>
      </c>
      <c r="H81" s="47">
        <v>32000</v>
      </c>
      <c r="I81" s="47">
        <v>64000</v>
      </c>
      <c r="J81" s="47"/>
      <c r="K81" s="47">
        <v>32000</v>
      </c>
      <c r="L81" s="47">
        <v>32000</v>
      </c>
      <c r="M81" s="47"/>
      <c r="N81" s="47"/>
      <c r="O81" s="47">
        <v>32000</v>
      </c>
      <c r="P81" s="47">
        <v>32000</v>
      </c>
      <c r="Q81" s="47"/>
      <c r="R81" s="47"/>
      <c r="S81" s="47"/>
      <c r="T81" s="45">
        <f t="shared" si="38"/>
        <v>320000</v>
      </c>
      <c r="U81" s="46"/>
    </row>
    <row r="82" spans="1:21">
      <c r="A82" s="42" t="s">
        <v>208</v>
      </c>
      <c r="B82" s="43" t="s">
        <v>216</v>
      </c>
      <c r="C82" s="43"/>
      <c r="D82" s="44" t="s">
        <v>28</v>
      </c>
      <c r="E82" s="45">
        <f>E83+E86+E89</f>
        <v>420080</v>
      </c>
      <c r="F82" s="45">
        <f>F83+F86+F89</f>
        <v>236000</v>
      </c>
      <c r="G82" s="45">
        <f t="shared" ref="G82:S82" si="51">G83+G86+G89</f>
        <v>372880</v>
      </c>
      <c r="H82" s="45">
        <f t="shared" si="51"/>
        <v>217120</v>
      </c>
      <c r="I82" s="45">
        <f t="shared" si="51"/>
        <v>75520</v>
      </c>
      <c r="J82" s="45">
        <f t="shared" si="51"/>
        <v>0</v>
      </c>
      <c r="K82" s="45">
        <f t="shared" si="51"/>
        <v>51920</v>
      </c>
      <c r="L82" s="45">
        <f t="shared" si="51"/>
        <v>80240</v>
      </c>
      <c r="M82" s="45">
        <f t="shared" si="51"/>
        <v>18880</v>
      </c>
      <c r="N82" s="45">
        <f t="shared" si="51"/>
        <v>4720</v>
      </c>
      <c r="O82" s="45">
        <f t="shared" si="51"/>
        <v>9440</v>
      </c>
      <c r="P82" s="45">
        <f t="shared" si="51"/>
        <v>14160</v>
      </c>
      <c r="Q82" s="45">
        <f t="shared" si="51"/>
        <v>0</v>
      </c>
      <c r="R82" s="45">
        <f t="shared" si="51"/>
        <v>4720</v>
      </c>
      <c r="S82" s="45">
        <f t="shared" si="51"/>
        <v>42480</v>
      </c>
      <c r="T82" s="45">
        <f t="shared" si="38"/>
        <v>1548160</v>
      </c>
      <c r="U82" s="46"/>
    </row>
    <row r="83" spans="1:21">
      <c r="A83" s="42" t="s">
        <v>210</v>
      </c>
      <c r="B83" s="43" t="s">
        <v>218</v>
      </c>
      <c r="C83" s="43"/>
      <c r="D83" s="44" t="s">
        <v>28</v>
      </c>
      <c r="E83" s="45">
        <f>E84+E85</f>
        <v>0</v>
      </c>
      <c r="F83" s="45">
        <f>F84+F85</f>
        <v>0</v>
      </c>
      <c r="G83" s="45">
        <f t="shared" ref="G83:S83" si="52">G84+G85</f>
        <v>0</v>
      </c>
      <c r="H83" s="45">
        <f t="shared" si="52"/>
        <v>0</v>
      </c>
      <c r="I83" s="45">
        <f t="shared" si="52"/>
        <v>0</v>
      </c>
      <c r="J83" s="45">
        <f t="shared" si="52"/>
        <v>0</v>
      </c>
      <c r="K83" s="45">
        <f t="shared" si="52"/>
        <v>0</v>
      </c>
      <c r="L83" s="45">
        <f t="shared" si="52"/>
        <v>0</v>
      </c>
      <c r="M83" s="45">
        <f t="shared" si="52"/>
        <v>0</v>
      </c>
      <c r="N83" s="45">
        <f t="shared" si="52"/>
        <v>0</v>
      </c>
      <c r="O83" s="45">
        <f t="shared" si="52"/>
        <v>0</v>
      </c>
      <c r="P83" s="45">
        <f t="shared" si="52"/>
        <v>0</v>
      </c>
      <c r="Q83" s="45">
        <f t="shared" si="52"/>
        <v>0</v>
      </c>
      <c r="R83" s="45">
        <f t="shared" si="52"/>
        <v>0</v>
      </c>
      <c r="S83" s="45">
        <f t="shared" si="52"/>
        <v>0</v>
      </c>
      <c r="T83" s="45">
        <f t="shared" si="38"/>
        <v>0</v>
      </c>
      <c r="U83" s="46"/>
    </row>
    <row r="84" spans="1:21">
      <c r="A84" s="42" t="s">
        <v>212</v>
      </c>
      <c r="B84" s="43" t="s">
        <v>220</v>
      </c>
      <c r="C84" s="43" t="s">
        <v>35</v>
      </c>
      <c r="D84" s="56" t="s">
        <v>135</v>
      </c>
      <c r="E84" s="53"/>
      <c r="F84" s="53"/>
      <c r="G84" s="53"/>
      <c r="H84" s="53"/>
      <c r="I84" s="53"/>
      <c r="J84" s="53"/>
      <c r="K84" s="53"/>
      <c r="L84" s="53"/>
      <c r="M84" s="53"/>
      <c r="N84" s="53"/>
      <c r="O84" s="53"/>
      <c r="P84" s="53"/>
      <c r="Q84" s="53"/>
      <c r="R84" s="53"/>
      <c r="S84" s="53"/>
      <c r="T84" s="45">
        <f t="shared" si="38"/>
        <v>0</v>
      </c>
      <c r="U84" s="52"/>
    </row>
    <row r="85" spans="1:21">
      <c r="A85" s="42" t="s">
        <v>215</v>
      </c>
      <c r="B85" s="43" t="s">
        <v>222</v>
      </c>
      <c r="C85" s="43" t="s">
        <v>35</v>
      </c>
      <c r="D85" s="44" t="s">
        <v>223</v>
      </c>
      <c r="E85" s="53"/>
      <c r="F85" s="53"/>
      <c r="G85" s="53"/>
      <c r="H85" s="53"/>
      <c r="I85" s="53"/>
      <c r="J85" s="53"/>
      <c r="K85" s="53"/>
      <c r="L85" s="53"/>
      <c r="M85" s="53"/>
      <c r="N85" s="53"/>
      <c r="O85" s="53"/>
      <c r="P85" s="53"/>
      <c r="Q85" s="53"/>
      <c r="R85" s="53"/>
      <c r="S85" s="53"/>
      <c r="T85" s="45">
        <f t="shared" si="38"/>
        <v>0</v>
      </c>
      <c r="U85" s="52"/>
    </row>
    <row r="86" spans="1:21">
      <c r="A86" s="42" t="s">
        <v>217</v>
      </c>
      <c r="B86" s="43" t="s">
        <v>225</v>
      </c>
      <c r="C86" s="43"/>
      <c r="D86" s="44" t="s">
        <v>28</v>
      </c>
      <c r="E86" s="45">
        <f>E87+E88</f>
        <v>420080</v>
      </c>
      <c r="F86" s="45">
        <f>F87+F88</f>
        <v>236000</v>
      </c>
      <c r="G86" s="45">
        <f t="shared" ref="G86:S86" si="53">G87+G88</f>
        <v>372880</v>
      </c>
      <c r="H86" s="45">
        <f t="shared" si="53"/>
        <v>217120</v>
      </c>
      <c r="I86" s="45">
        <f t="shared" si="53"/>
        <v>75520</v>
      </c>
      <c r="J86" s="45">
        <f t="shared" si="53"/>
        <v>0</v>
      </c>
      <c r="K86" s="45">
        <f t="shared" si="53"/>
        <v>51920</v>
      </c>
      <c r="L86" s="45">
        <f t="shared" si="53"/>
        <v>80240</v>
      </c>
      <c r="M86" s="45">
        <f t="shared" si="53"/>
        <v>18880</v>
      </c>
      <c r="N86" s="45">
        <f t="shared" si="53"/>
        <v>4720</v>
      </c>
      <c r="O86" s="45">
        <f t="shared" si="53"/>
        <v>9440</v>
      </c>
      <c r="P86" s="45">
        <f t="shared" si="53"/>
        <v>14160</v>
      </c>
      <c r="Q86" s="45">
        <f t="shared" si="53"/>
        <v>0</v>
      </c>
      <c r="R86" s="45">
        <f t="shared" si="53"/>
        <v>4720</v>
      </c>
      <c r="S86" s="45">
        <f t="shared" si="53"/>
        <v>42480</v>
      </c>
      <c r="T86" s="45">
        <f t="shared" si="38"/>
        <v>1548160</v>
      </c>
      <c r="U86" s="46"/>
    </row>
    <row r="87" spans="1:21" s="50" customFormat="1" ht="22.5">
      <c r="A87" s="42" t="s">
        <v>219</v>
      </c>
      <c r="B87" s="49" t="s">
        <v>227</v>
      </c>
      <c r="C87" s="49" t="s">
        <v>35</v>
      </c>
      <c r="D87" s="57" t="s">
        <v>228</v>
      </c>
      <c r="E87" s="45">
        <f>E104*400</f>
        <v>35600</v>
      </c>
      <c r="F87" s="45">
        <f>F104*400</f>
        <v>20000</v>
      </c>
      <c r="G87" s="45">
        <f t="shared" ref="G87:S87" si="54">G104*400</f>
        <v>31600</v>
      </c>
      <c r="H87" s="45">
        <f t="shared" si="54"/>
        <v>18400</v>
      </c>
      <c r="I87" s="45">
        <f t="shared" si="54"/>
        <v>6400</v>
      </c>
      <c r="J87" s="45">
        <f t="shared" si="54"/>
        <v>0</v>
      </c>
      <c r="K87" s="45">
        <f t="shared" si="54"/>
        <v>4400</v>
      </c>
      <c r="L87" s="45">
        <f t="shared" si="54"/>
        <v>6800</v>
      </c>
      <c r="M87" s="45">
        <f t="shared" si="54"/>
        <v>1600</v>
      </c>
      <c r="N87" s="45">
        <f t="shared" si="54"/>
        <v>400</v>
      </c>
      <c r="O87" s="45">
        <f t="shared" si="54"/>
        <v>800</v>
      </c>
      <c r="P87" s="45">
        <f t="shared" si="54"/>
        <v>1200</v>
      </c>
      <c r="Q87" s="45">
        <f t="shared" si="54"/>
        <v>0</v>
      </c>
      <c r="R87" s="45">
        <f t="shared" si="54"/>
        <v>400</v>
      </c>
      <c r="S87" s="45">
        <f t="shared" si="54"/>
        <v>3600</v>
      </c>
      <c r="T87" s="45">
        <f t="shared" si="38"/>
        <v>131200</v>
      </c>
      <c r="U87" s="46"/>
    </row>
    <row r="88" spans="1:21" s="50" customFormat="1" ht="22.5">
      <c r="A88" s="42" t="s">
        <v>221</v>
      </c>
      <c r="B88" s="49" t="s">
        <v>230</v>
      </c>
      <c r="C88" s="49" t="s">
        <v>35</v>
      </c>
      <c r="D88" s="57" t="s">
        <v>231</v>
      </c>
      <c r="E88" s="45">
        <f>E104*4320</f>
        <v>384480</v>
      </c>
      <c r="F88" s="45">
        <f>F104*4320</f>
        <v>216000</v>
      </c>
      <c r="G88" s="45">
        <f t="shared" ref="G88:S88" si="55">G104*4320</f>
        <v>341280</v>
      </c>
      <c r="H88" s="45">
        <f t="shared" si="55"/>
        <v>198720</v>
      </c>
      <c r="I88" s="45">
        <f t="shared" si="55"/>
        <v>69120</v>
      </c>
      <c r="J88" s="45">
        <f t="shared" si="55"/>
        <v>0</v>
      </c>
      <c r="K88" s="45">
        <f t="shared" si="55"/>
        <v>47520</v>
      </c>
      <c r="L88" s="45">
        <f t="shared" si="55"/>
        <v>73440</v>
      </c>
      <c r="M88" s="45">
        <f t="shared" si="55"/>
        <v>17280</v>
      </c>
      <c r="N88" s="45">
        <f t="shared" si="55"/>
        <v>4320</v>
      </c>
      <c r="O88" s="45">
        <f t="shared" si="55"/>
        <v>8640</v>
      </c>
      <c r="P88" s="45">
        <f t="shared" si="55"/>
        <v>12960</v>
      </c>
      <c r="Q88" s="45">
        <f t="shared" si="55"/>
        <v>0</v>
      </c>
      <c r="R88" s="45">
        <f t="shared" si="55"/>
        <v>4320</v>
      </c>
      <c r="S88" s="45">
        <f t="shared" si="55"/>
        <v>38880</v>
      </c>
      <c r="T88" s="45">
        <f t="shared" si="38"/>
        <v>1416960</v>
      </c>
      <c r="U88" s="46"/>
    </row>
    <row r="89" spans="1:21">
      <c r="A89" s="42" t="s">
        <v>224</v>
      </c>
      <c r="B89" s="43" t="s">
        <v>233</v>
      </c>
      <c r="C89" s="43" t="s">
        <v>35</v>
      </c>
      <c r="D89" s="56" t="s">
        <v>135</v>
      </c>
      <c r="E89" s="58"/>
      <c r="F89" s="58"/>
      <c r="G89" s="58"/>
      <c r="H89" s="58"/>
      <c r="I89" s="58"/>
      <c r="J89" s="58"/>
      <c r="K89" s="58"/>
      <c r="L89" s="58"/>
      <c r="M89" s="58"/>
      <c r="N89" s="58"/>
      <c r="O89" s="58"/>
      <c r="P89" s="58"/>
      <c r="Q89" s="58"/>
      <c r="R89" s="58"/>
      <c r="S89" s="58"/>
      <c r="T89" s="45">
        <f t="shared" si="38"/>
        <v>0</v>
      </c>
      <c r="U89" s="52"/>
    </row>
    <row r="90" spans="1:21">
      <c r="A90" s="42" t="s">
        <v>226</v>
      </c>
      <c r="B90" s="43" t="s">
        <v>235</v>
      </c>
      <c r="C90" s="43"/>
      <c r="D90" s="44" t="s">
        <v>28</v>
      </c>
      <c r="E90" s="45">
        <f>E91</f>
        <v>0</v>
      </c>
      <c r="F90" s="45">
        <f>F91</f>
        <v>0</v>
      </c>
      <c r="G90" s="45">
        <f t="shared" ref="G90:S90" si="56">G91</f>
        <v>0</v>
      </c>
      <c r="H90" s="45">
        <f t="shared" si="56"/>
        <v>0</v>
      </c>
      <c r="I90" s="45">
        <f t="shared" si="56"/>
        <v>0</v>
      </c>
      <c r="J90" s="45">
        <f t="shared" si="56"/>
        <v>32000</v>
      </c>
      <c r="K90" s="45">
        <f t="shared" si="56"/>
        <v>0</v>
      </c>
      <c r="L90" s="45">
        <f t="shared" si="56"/>
        <v>0</v>
      </c>
      <c r="M90" s="45">
        <f t="shared" si="56"/>
        <v>32000</v>
      </c>
      <c r="N90" s="45">
        <f t="shared" si="56"/>
        <v>32000</v>
      </c>
      <c r="O90" s="45">
        <f t="shared" si="56"/>
        <v>0</v>
      </c>
      <c r="P90" s="45">
        <f t="shared" si="56"/>
        <v>0</v>
      </c>
      <c r="Q90" s="45">
        <f t="shared" si="56"/>
        <v>32000</v>
      </c>
      <c r="R90" s="45">
        <f t="shared" si="56"/>
        <v>32000</v>
      </c>
      <c r="S90" s="45">
        <f t="shared" si="56"/>
        <v>32000</v>
      </c>
      <c r="T90" s="45">
        <f t="shared" ref="T90:T106" si="57">SUM(E90:S90)</f>
        <v>192000</v>
      </c>
      <c r="U90" s="46"/>
    </row>
    <row r="91" spans="1:21" ht="68.25" thickBot="1">
      <c r="A91" s="42" t="s">
        <v>229</v>
      </c>
      <c r="B91" s="59" t="s">
        <v>237</v>
      </c>
      <c r="C91" s="43" t="s">
        <v>35</v>
      </c>
      <c r="D91" s="60" t="s">
        <v>363</v>
      </c>
      <c r="E91" s="61"/>
      <c r="F91" s="61"/>
      <c r="G91" s="61"/>
      <c r="H91" s="61"/>
      <c r="I91" s="61"/>
      <c r="J91" s="61">
        <v>32000</v>
      </c>
      <c r="K91" s="61"/>
      <c r="L91" s="61"/>
      <c r="M91" s="61">
        <v>32000</v>
      </c>
      <c r="N91" s="61">
        <v>32000</v>
      </c>
      <c r="O91" s="61"/>
      <c r="P91" s="61"/>
      <c r="Q91" s="61">
        <v>32000</v>
      </c>
      <c r="R91" s="61">
        <v>32000</v>
      </c>
      <c r="S91" s="61">
        <v>32000</v>
      </c>
      <c r="T91" s="45">
        <f t="shared" si="57"/>
        <v>192000</v>
      </c>
      <c r="U91" s="62"/>
    </row>
    <row r="92" spans="1:21" ht="23.25" customHeight="1" thickTop="1">
      <c r="A92" s="42" t="s">
        <v>232</v>
      </c>
      <c r="B92" s="63" t="s">
        <v>240</v>
      </c>
      <c r="C92" s="63"/>
      <c r="D92" s="64"/>
      <c r="E92" s="65"/>
      <c r="F92" s="65"/>
      <c r="G92" s="65"/>
      <c r="H92" s="65"/>
      <c r="I92" s="65"/>
      <c r="J92" s="65"/>
      <c r="K92" s="65"/>
      <c r="L92" s="65"/>
      <c r="M92" s="65"/>
      <c r="N92" s="65"/>
      <c r="O92" s="65"/>
      <c r="P92" s="65"/>
      <c r="Q92" s="65"/>
      <c r="R92" s="65"/>
      <c r="S92" s="65"/>
      <c r="T92" s="45">
        <f t="shared" si="57"/>
        <v>0</v>
      </c>
      <c r="U92" s="66"/>
    </row>
    <row r="93" spans="1:21" ht="22.5">
      <c r="A93" s="42" t="s">
        <v>234</v>
      </c>
      <c r="B93" s="43" t="s">
        <v>242</v>
      </c>
      <c r="C93" s="43"/>
      <c r="D93" s="44" t="s">
        <v>364</v>
      </c>
      <c r="E93" s="45">
        <f>E94+E95+E96+E97</f>
        <v>117</v>
      </c>
      <c r="F93" s="45">
        <f>F94+F95+F96+F97</f>
        <v>76</v>
      </c>
      <c r="G93" s="45">
        <f t="shared" ref="G93:S93" si="58">G94+G95+G96+G97</f>
        <v>80</v>
      </c>
      <c r="H93" s="45">
        <f t="shared" si="58"/>
        <v>94</v>
      </c>
      <c r="I93" s="45">
        <f t="shared" si="58"/>
        <v>200</v>
      </c>
      <c r="J93" s="45">
        <f t="shared" si="58"/>
        <v>53</v>
      </c>
      <c r="K93" s="45">
        <f t="shared" si="58"/>
        <v>57</v>
      </c>
      <c r="L93" s="45">
        <f t="shared" si="58"/>
        <v>48</v>
      </c>
      <c r="M93" s="45">
        <f t="shared" si="58"/>
        <v>43</v>
      </c>
      <c r="N93" s="45">
        <f t="shared" si="58"/>
        <v>45</v>
      </c>
      <c r="O93" s="45">
        <f t="shared" si="58"/>
        <v>140</v>
      </c>
      <c r="P93" s="45">
        <f t="shared" si="58"/>
        <v>5</v>
      </c>
      <c r="Q93" s="45">
        <f t="shared" si="58"/>
        <v>13</v>
      </c>
      <c r="R93" s="45">
        <f t="shared" si="58"/>
        <v>70</v>
      </c>
      <c r="S93" s="45">
        <f t="shared" si="58"/>
        <v>30</v>
      </c>
      <c r="T93" s="45">
        <f t="shared" si="57"/>
        <v>1071</v>
      </c>
      <c r="U93" s="46"/>
    </row>
    <row r="94" spans="1:21">
      <c r="A94" s="42" t="s">
        <v>236</v>
      </c>
      <c r="B94" s="67" t="s">
        <v>245</v>
      </c>
      <c r="C94" s="67"/>
      <c r="D94" s="52"/>
      <c r="E94" s="53">
        <v>117</v>
      </c>
      <c r="F94" s="53">
        <v>76</v>
      </c>
      <c r="G94" s="53"/>
      <c r="H94" s="53"/>
      <c r="I94" s="53"/>
      <c r="J94" s="53"/>
      <c r="K94" s="53"/>
      <c r="L94" s="53"/>
      <c r="M94" s="53"/>
      <c r="N94" s="53"/>
      <c r="O94" s="53">
        <v>140</v>
      </c>
      <c r="P94" s="53"/>
      <c r="Q94" s="53"/>
      <c r="R94" s="53">
        <v>70</v>
      </c>
      <c r="S94" s="53"/>
      <c r="T94" s="45">
        <f t="shared" si="57"/>
        <v>403</v>
      </c>
      <c r="U94" s="46"/>
    </row>
    <row r="95" spans="1:21">
      <c r="A95" s="42" t="s">
        <v>239</v>
      </c>
      <c r="B95" s="67" t="s">
        <v>247</v>
      </c>
      <c r="C95" s="67"/>
      <c r="D95" s="44"/>
      <c r="E95" s="47"/>
      <c r="F95" s="47"/>
      <c r="G95" s="47">
        <v>80</v>
      </c>
      <c r="H95" s="47">
        <v>94</v>
      </c>
      <c r="I95" s="47">
        <v>200</v>
      </c>
      <c r="J95" s="47">
        <v>53</v>
      </c>
      <c r="K95" s="47"/>
      <c r="L95" s="47"/>
      <c r="M95" s="47"/>
      <c r="N95" s="47"/>
      <c r="O95" s="47">
        <v>0</v>
      </c>
      <c r="P95" s="47"/>
      <c r="Q95" s="47"/>
      <c r="R95" s="47"/>
      <c r="S95" s="47"/>
      <c r="T95" s="45">
        <f t="shared" si="57"/>
        <v>427</v>
      </c>
      <c r="U95" s="46"/>
    </row>
    <row r="96" spans="1:21">
      <c r="A96" s="42" t="s">
        <v>241</v>
      </c>
      <c r="B96" s="67" t="s">
        <v>249</v>
      </c>
      <c r="C96" s="67"/>
      <c r="D96" s="52"/>
      <c r="E96" s="53"/>
      <c r="F96" s="53"/>
      <c r="G96" s="53"/>
      <c r="H96" s="53"/>
      <c r="I96" s="53"/>
      <c r="J96" s="53"/>
      <c r="K96" s="53">
        <v>57</v>
      </c>
      <c r="L96" s="53">
        <v>48</v>
      </c>
      <c r="M96" s="53">
        <v>43</v>
      </c>
      <c r="N96" s="53">
        <v>45</v>
      </c>
      <c r="O96" s="53"/>
      <c r="P96" s="53"/>
      <c r="Q96" s="53">
        <v>13</v>
      </c>
      <c r="R96" s="53">
        <v>0</v>
      </c>
      <c r="S96" s="53">
        <v>30</v>
      </c>
      <c r="T96" s="45">
        <f t="shared" si="57"/>
        <v>236</v>
      </c>
      <c r="U96" s="46"/>
    </row>
    <row r="97" spans="1:21">
      <c r="A97" s="42" t="s">
        <v>244</v>
      </c>
      <c r="B97" s="67" t="s">
        <v>251</v>
      </c>
      <c r="C97" s="67"/>
      <c r="D97" s="52"/>
      <c r="E97" s="53"/>
      <c r="F97" s="53"/>
      <c r="G97" s="53"/>
      <c r="H97" s="53"/>
      <c r="I97" s="53"/>
      <c r="J97" s="53"/>
      <c r="K97" s="53"/>
      <c r="L97" s="53"/>
      <c r="M97" s="53"/>
      <c r="N97" s="53"/>
      <c r="O97" s="53"/>
      <c r="P97" s="53">
        <v>5</v>
      </c>
      <c r="Q97" s="53"/>
      <c r="R97" s="53"/>
      <c r="S97" s="53"/>
      <c r="T97" s="45">
        <f t="shared" si="57"/>
        <v>5</v>
      </c>
      <c r="U97" s="46"/>
    </row>
    <row r="98" spans="1:21" ht="22.5">
      <c r="A98" s="42" t="s">
        <v>246</v>
      </c>
      <c r="B98" s="43" t="s">
        <v>253</v>
      </c>
      <c r="C98" s="43"/>
      <c r="D98" s="44" t="s">
        <v>365</v>
      </c>
      <c r="E98" s="45">
        <f>E99+E100+E101+E102</f>
        <v>1184</v>
      </c>
      <c r="F98" s="45">
        <f>F99+F100+F101+F102</f>
        <v>838</v>
      </c>
      <c r="G98" s="45">
        <f t="shared" ref="G98:S98" si="59">G99+G100+G101+G102</f>
        <v>840</v>
      </c>
      <c r="H98" s="45">
        <f t="shared" si="59"/>
        <v>954</v>
      </c>
      <c r="I98" s="45">
        <f t="shared" si="59"/>
        <v>3405</v>
      </c>
      <c r="J98" s="45">
        <f t="shared" si="59"/>
        <v>689</v>
      </c>
      <c r="K98" s="45">
        <f t="shared" si="59"/>
        <v>681</v>
      </c>
      <c r="L98" s="45">
        <f t="shared" si="59"/>
        <v>454</v>
      </c>
      <c r="M98" s="45">
        <f t="shared" si="59"/>
        <v>507</v>
      </c>
      <c r="N98" s="45">
        <f t="shared" si="59"/>
        <v>513</v>
      </c>
      <c r="O98" s="45">
        <f t="shared" si="59"/>
        <v>1577</v>
      </c>
      <c r="P98" s="45">
        <f t="shared" si="59"/>
        <v>0</v>
      </c>
      <c r="Q98" s="45">
        <f t="shared" si="59"/>
        <v>164</v>
      </c>
      <c r="R98" s="45">
        <f t="shared" si="59"/>
        <v>984</v>
      </c>
      <c r="S98" s="45">
        <f t="shared" si="59"/>
        <v>466</v>
      </c>
      <c r="T98" s="45">
        <f t="shared" si="57"/>
        <v>13256</v>
      </c>
      <c r="U98" s="46"/>
    </row>
    <row r="99" spans="1:21">
      <c r="A99" s="42" t="s">
        <v>248</v>
      </c>
      <c r="B99" s="67" t="s">
        <v>245</v>
      </c>
      <c r="C99" s="67"/>
      <c r="D99" s="52"/>
      <c r="E99" s="53">
        <v>1184</v>
      </c>
      <c r="F99" s="53">
        <v>838</v>
      </c>
      <c r="G99" s="53"/>
      <c r="H99" s="53"/>
      <c r="I99" s="53"/>
      <c r="J99" s="53"/>
      <c r="K99" s="53"/>
      <c r="L99" s="53"/>
      <c r="M99" s="53"/>
      <c r="N99" s="53"/>
      <c r="O99" s="53">
        <f>[1]生均公用定额标准!E47</f>
        <v>634</v>
      </c>
      <c r="P99" s="53"/>
      <c r="Q99" s="53"/>
      <c r="R99" s="53">
        <f>[1]生均公用定额标准!C28</f>
        <v>984</v>
      </c>
      <c r="S99" s="53"/>
      <c r="T99" s="45">
        <f t="shared" si="57"/>
        <v>3640</v>
      </c>
      <c r="U99" s="46"/>
    </row>
    <row r="100" spans="1:21">
      <c r="A100" s="42" t="s">
        <v>250</v>
      </c>
      <c r="B100" s="67" t="s">
        <v>247</v>
      </c>
      <c r="C100" s="67"/>
      <c r="D100" s="44"/>
      <c r="E100" s="47"/>
      <c r="F100" s="47"/>
      <c r="G100" s="47">
        <v>840</v>
      </c>
      <c r="H100" s="47">
        <v>954</v>
      </c>
      <c r="I100" s="47">
        <f>[1]生均公用定额标准!C20</f>
        <v>3405</v>
      </c>
      <c r="J100" s="47">
        <f>[1]生均公用定额标准!C21</f>
        <v>689</v>
      </c>
      <c r="K100" s="47"/>
      <c r="L100" s="47"/>
      <c r="M100" s="47"/>
      <c r="N100" s="47"/>
      <c r="O100" s="47">
        <f>[1]生均公用定额标准!E46</f>
        <v>943</v>
      </c>
      <c r="P100" s="47"/>
      <c r="Q100" s="47"/>
      <c r="R100" s="47"/>
      <c r="S100" s="47"/>
      <c r="T100" s="45">
        <f t="shared" si="57"/>
        <v>6831</v>
      </c>
      <c r="U100" s="46"/>
    </row>
    <row r="101" spans="1:21">
      <c r="A101" s="42" t="s">
        <v>252</v>
      </c>
      <c r="B101" s="67" t="s">
        <v>249</v>
      </c>
      <c r="C101" s="67"/>
      <c r="D101" s="52"/>
      <c r="E101" s="53"/>
      <c r="F101" s="53"/>
      <c r="G101" s="53"/>
      <c r="H101" s="53"/>
      <c r="I101" s="53"/>
      <c r="J101" s="53"/>
      <c r="K101" s="53">
        <f>[1]生均公用定额标准!C23</f>
        <v>681</v>
      </c>
      <c r="L101" s="53">
        <f>[1]生均公用定额标准!C22</f>
        <v>454</v>
      </c>
      <c r="M101" s="53">
        <f>[1]生均公用定额标准!C24</f>
        <v>507</v>
      </c>
      <c r="N101" s="53">
        <f>[1]生均公用定额标准!C25</f>
        <v>513</v>
      </c>
      <c r="O101" s="53"/>
      <c r="P101" s="53"/>
      <c r="Q101" s="53">
        <f>[1]生均公用定额标准!C29</f>
        <v>164</v>
      </c>
      <c r="R101" s="53"/>
      <c r="S101" s="53">
        <f>[1]生均公用定额标准!C26</f>
        <v>466</v>
      </c>
      <c r="T101" s="45">
        <f t="shared" si="57"/>
        <v>2785</v>
      </c>
      <c r="U101" s="46"/>
    </row>
    <row r="102" spans="1:21">
      <c r="A102" s="42" t="s">
        <v>255</v>
      </c>
      <c r="B102" s="67" t="s">
        <v>251</v>
      </c>
      <c r="C102" s="67"/>
      <c r="D102" s="52"/>
      <c r="E102" s="53"/>
      <c r="F102" s="53"/>
      <c r="G102" s="53"/>
      <c r="H102" s="53"/>
      <c r="I102" s="53"/>
      <c r="J102" s="53"/>
      <c r="K102" s="53"/>
      <c r="L102" s="53"/>
      <c r="M102" s="53"/>
      <c r="N102" s="53"/>
      <c r="O102" s="53"/>
      <c r="P102" s="53"/>
      <c r="Q102" s="53"/>
      <c r="R102" s="53"/>
      <c r="S102" s="53"/>
      <c r="T102" s="45">
        <f t="shared" si="57"/>
        <v>0</v>
      </c>
      <c r="U102" s="46"/>
    </row>
    <row r="103" spans="1:21">
      <c r="A103" s="42" t="s">
        <v>256</v>
      </c>
      <c r="B103" s="43" t="s">
        <v>260</v>
      </c>
      <c r="C103" s="43"/>
      <c r="D103" s="56"/>
      <c r="E103" s="68"/>
      <c r="F103" s="68"/>
      <c r="G103" s="68"/>
      <c r="H103" s="68"/>
      <c r="I103" s="68"/>
      <c r="J103" s="68"/>
      <c r="K103" s="68"/>
      <c r="L103" s="68"/>
      <c r="M103" s="68"/>
      <c r="N103" s="68"/>
      <c r="O103" s="68"/>
      <c r="P103" s="68"/>
      <c r="Q103" s="68"/>
      <c r="R103" s="68"/>
      <c r="S103" s="68"/>
      <c r="T103" s="45">
        <f t="shared" si="57"/>
        <v>0</v>
      </c>
      <c r="U103" s="46"/>
    </row>
    <row r="104" spans="1:21">
      <c r="A104" s="42" t="s">
        <v>257</v>
      </c>
      <c r="B104" s="43" t="s">
        <v>261</v>
      </c>
      <c r="C104" s="43"/>
      <c r="D104" s="44"/>
      <c r="E104" s="47">
        <v>89</v>
      </c>
      <c r="F104" s="47">
        <v>50</v>
      </c>
      <c r="G104" s="47">
        <v>79</v>
      </c>
      <c r="H104" s="47">
        <v>46</v>
      </c>
      <c r="I104" s="47">
        <v>16</v>
      </c>
      <c r="J104" s="47">
        <v>0</v>
      </c>
      <c r="K104" s="47">
        <v>11</v>
      </c>
      <c r="L104" s="47">
        <v>17</v>
      </c>
      <c r="M104" s="47">
        <v>4</v>
      </c>
      <c r="N104" s="47">
        <v>1</v>
      </c>
      <c r="O104" s="47">
        <v>2</v>
      </c>
      <c r="P104" s="47">
        <v>3</v>
      </c>
      <c r="Q104" s="47"/>
      <c r="R104" s="47">
        <v>1</v>
      </c>
      <c r="S104" s="47">
        <v>9</v>
      </c>
      <c r="T104" s="45">
        <f t="shared" si="57"/>
        <v>328</v>
      </c>
      <c r="U104" s="46"/>
    </row>
    <row r="105" spans="1:21">
      <c r="A105" s="42" t="s">
        <v>258</v>
      </c>
      <c r="B105" s="67" t="s">
        <v>262</v>
      </c>
      <c r="C105" s="67"/>
      <c r="D105" s="56"/>
      <c r="E105" s="47">
        <v>32622</v>
      </c>
      <c r="F105" s="47">
        <v>9046</v>
      </c>
      <c r="G105" s="47">
        <v>13627</v>
      </c>
      <c r="H105" s="47">
        <v>17902</v>
      </c>
      <c r="I105" s="47">
        <v>25772.240000000002</v>
      </c>
      <c r="J105" s="47">
        <v>13105.71</v>
      </c>
      <c r="K105" s="47">
        <f>10602.95+3127.29</f>
        <v>13730.240000000002</v>
      </c>
      <c r="L105" s="47">
        <v>6627.96</v>
      </c>
      <c r="M105" s="47">
        <v>11478.41</v>
      </c>
      <c r="N105" s="47">
        <v>9116.92</v>
      </c>
      <c r="O105" s="47">
        <v>33999.89</v>
      </c>
      <c r="P105" s="47">
        <v>2300</v>
      </c>
      <c r="Q105" s="47">
        <v>4357</v>
      </c>
      <c r="R105" s="47">
        <v>13284.58</v>
      </c>
      <c r="S105" s="47">
        <f>2564.98+1394.54</f>
        <v>3959.52</v>
      </c>
      <c r="T105" s="45">
        <f t="shared" si="57"/>
        <v>210929.47000000003</v>
      </c>
      <c r="U105" s="46"/>
    </row>
    <row r="106" spans="1:21">
      <c r="A106" s="42" t="s">
        <v>259</v>
      </c>
      <c r="B106" s="67" t="s">
        <v>263</v>
      </c>
      <c r="C106" s="67"/>
      <c r="D106" s="56"/>
      <c r="E106" s="47">
        <v>29824</v>
      </c>
      <c r="F106" s="47">
        <v>8662</v>
      </c>
      <c r="G106" s="47">
        <v>8000</v>
      </c>
      <c r="H106" s="47">
        <v>8000</v>
      </c>
      <c r="I106" s="47">
        <v>15855</v>
      </c>
      <c r="J106" s="47">
        <v>4669</v>
      </c>
      <c r="K106" s="47">
        <f>4900+1492</f>
        <v>6392</v>
      </c>
      <c r="L106" s="47">
        <v>4663.8</v>
      </c>
      <c r="M106" s="47">
        <v>6585.2</v>
      </c>
      <c r="N106" s="47">
        <v>3060</v>
      </c>
      <c r="O106" s="47">
        <v>21060</v>
      </c>
      <c r="P106" s="47"/>
      <c r="Q106" s="47">
        <v>1505</v>
      </c>
      <c r="R106" s="47">
        <v>6784</v>
      </c>
      <c r="S106" s="47">
        <v>4013</v>
      </c>
      <c r="T106" s="45">
        <f t="shared" si="57"/>
        <v>129073</v>
      </c>
      <c r="U106" s="46"/>
    </row>
    <row r="107" spans="1:21">
      <c r="E107" s="38">
        <f t="shared" ref="E107:T107" si="60">E4/E93</f>
        <v>355927.69316239317</v>
      </c>
      <c r="F107" s="38">
        <f t="shared" si="60"/>
        <v>360089.6580263158</v>
      </c>
      <c r="G107" s="38">
        <f t="shared" si="60"/>
        <v>357681.08475000004</v>
      </c>
      <c r="H107" s="38">
        <f t="shared" si="60"/>
        <v>347917.98978723405</v>
      </c>
      <c r="I107" s="38">
        <f t="shared" si="60"/>
        <v>337774.48259999999</v>
      </c>
      <c r="J107" s="38">
        <f t="shared" si="60"/>
        <v>322621.98660377355</v>
      </c>
      <c r="K107" s="38">
        <f t="shared" si="60"/>
        <v>326406.01929824555</v>
      </c>
      <c r="L107" s="38">
        <f t="shared" si="60"/>
        <v>321613.81416666665</v>
      </c>
      <c r="M107" s="38">
        <f t="shared" si="60"/>
        <v>315113.3088372093</v>
      </c>
      <c r="N107" s="38">
        <f t="shared" si="60"/>
        <v>316900.58866666671</v>
      </c>
      <c r="O107" s="38">
        <f t="shared" si="60"/>
        <v>349640.29835714283</v>
      </c>
      <c r="P107" s="38">
        <f t="shared" si="60"/>
        <v>356163.01400000002</v>
      </c>
      <c r="Q107" s="38">
        <f t="shared" si="60"/>
        <v>313970.16307692305</v>
      </c>
      <c r="R107" s="38">
        <f t="shared" si="60"/>
        <v>345027.35914285714</v>
      </c>
      <c r="S107" s="38">
        <f t="shared" si="60"/>
        <v>306898.88033333333</v>
      </c>
      <c r="T107" s="38">
        <f t="shared" si="60"/>
        <v>340809.47637721756</v>
      </c>
    </row>
  </sheetData>
  <protectedRanges>
    <protectedRange password="E9C1" sqref="D28 T21:U26 U20 T4:U9 U10 U27 A2:U3 A4:D5 T11:U19 B6:D26 T28:U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U1"/>
  </mergeCells>
  <phoneticPr fontId="3" type="noConversion"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7"/>
  <sheetViews>
    <sheetView workbookViewId="0">
      <pane xSplit="4" ySplit="2" topLeftCell="G35" activePane="bottomRight" state="frozen"/>
      <selection pane="topRight" activeCell="E1" sqref="E1"/>
      <selection pane="bottomLeft" activeCell="A3" sqref="A3"/>
      <selection pane="bottomRight" activeCell="A50" sqref="A50:XFD50"/>
    </sheetView>
  </sheetViews>
  <sheetFormatPr defaultColWidth="15.625" defaultRowHeight="11.25"/>
  <cols>
    <col min="1" max="1" width="4.625" style="115" customWidth="1"/>
    <col min="2" max="2" width="29.25" style="86" customWidth="1"/>
    <col min="3" max="3" width="13" style="86" customWidth="1"/>
    <col min="4" max="4" width="20" style="116" customWidth="1"/>
    <col min="5" max="256" width="15.625" style="86"/>
    <col min="257" max="257" width="4.625" style="86" customWidth="1"/>
    <col min="258" max="258" width="29.25" style="86" customWidth="1"/>
    <col min="259" max="259" width="13" style="86" customWidth="1"/>
    <col min="260" max="260" width="20" style="86" customWidth="1"/>
    <col min="261" max="512" width="15.625" style="86"/>
    <col min="513" max="513" width="4.625" style="86" customWidth="1"/>
    <col min="514" max="514" width="29.25" style="86" customWidth="1"/>
    <col min="515" max="515" width="13" style="86" customWidth="1"/>
    <col min="516" max="516" width="20" style="86" customWidth="1"/>
    <col min="517" max="768" width="15.625" style="86"/>
    <col min="769" max="769" width="4.625" style="86" customWidth="1"/>
    <col min="770" max="770" width="29.25" style="86" customWidth="1"/>
    <col min="771" max="771" width="13" style="86" customWidth="1"/>
    <col min="772" max="772" width="20" style="86" customWidth="1"/>
    <col min="773" max="1024" width="15.625" style="86"/>
    <col min="1025" max="1025" width="4.625" style="86" customWidth="1"/>
    <col min="1026" max="1026" width="29.25" style="86" customWidth="1"/>
    <col min="1027" max="1027" width="13" style="86" customWidth="1"/>
    <col min="1028" max="1028" width="20" style="86" customWidth="1"/>
    <col min="1029" max="1280" width="15.625" style="86"/>
    <col min="1281" max="1281" width="4.625" style="86" customWidth="1"/>
    <col min="1282" max="1282" width="29.25" style="86" customWidth="1"/>
    <col min="1283" max="1283" width="13" style="86" customWidth="1"/>
    <col min="1284" max="1284" width="20" style="86" customWidth="1"/>
    <col min="1285" max="1536" width="15.625" style="86"/>
    <col min="1537" max="1537" width="4.625" style="86" customWidth="1"/>
    <col min="1538" max="1538" width="29.25" style="86" customWidth="1"/>
    <col min="1539" max="1539" width="13" style="86" customWidth="1"/>
    <col min="1540" max="1540" width="20" style="86" customWidth="1"/>
    <col min="1541" max="1792" width="15.625" style="86"/>
    <col min="1793" max="1793" width="4.625" style="86" customWidth="1"/>
    <col min="1794" max="1794" width="29.25" style="86" customWidth="1"/>
    <col min="1795" max="1795" width="13" style="86" customWidth="1"/>
    <col min="1796" max="1796" width="20" style="86" customWidth="1"/>
    <col min="1797" max="2048" width="15.625" style="86"/>
    <col min="2049" max="2049" width="4.625" style="86" customWidth="1"/>
    <col min="2050" max="2050" width="29.25" style="86" customWidth="1"/>
    <col min="2051" max="2051" width="13" style="86" customWidth="1"/>
    <col min="2052" max="2052" width="20" style="86" customWidth="1"/>
    <col min="2053" max="2304" width="15.625" style="86"/>
    <col min="2305" max="2305" width="4.625" style="86" customWidth="1"/>
    <col min="2306" max="2306" width="29.25" style="86" customWidth="1"/>
    <col min="2307" max="2307" width="13" style="86" customWidth="1"/>
    <col min="2308" max="2308" width="20" style="86" customWidth="1"/>
    <col min="2309" max="2560" width="15.625" style="86"/>
    <col min="2561" max="2561" width="4.625" style="86" customWidth="1"/>
    <col min="2562" max="2562" width="29.25" style="86" customWidth="1"/>
    <col min="2563" max="2563" width="13" style="86" customWidth="1"/>
    <col min="2564" max="2564" width="20" style="86" customWidth="1"/>
    <col min="2565" max="2816" width="15.625" style="86"/>
    <col min="2817" max="2817" width="4.625" style="86" customWidth="1"/>
    <col min="2818" max="2818" width="29.25" style="86" customWidth="1"/>
    <col min="2819" max="2819" width="13" style="86" customWidth="1"/>
    <col min="2820" max="2820" width="20" style="86" customWidth="1"/>
    <col min="2821" max="3072" width="15.625" style="86"/>
    <col min="3073" max="3073" width="4.625" style="86" customWidth="1"/>
    <col min="3074" max="3074" width="29.25" style="86" customWidth="1"/>
    <col min="3075" max="3075" width="13" style="86" customWidth="1"/>
    <col min="3076" max="3076" width="20" style="86" customWidth="1"/>
    <col min="3077" max="3328" width="15.625" style="86"/>
    <col min="3329" max="3329" width="4.625" style="86" customWidth="1"/>
    <col min="3330" max="3330" width="29.25" style="86" customWidth="1"/>
    <col min="3331" max="3331" width="13" style="86" customWidth="1"/>
    <col min="3332" max="3332" width="20" style="86" customWidth="1"/>
    <col min="3333" max="3584" width="15.625" style="86"/>
    <col min="3585" max="3585" width="4.625" style="86" customWidth="1"/>
    <col min="3586" max="3586" width="29.25" style="86" customWidth="1"/>
    <col min="3587" max="3587" width="13" style="86" customWidth="1"/>
    <col min="3588" max="3588" width="20" style="86" customWidth="1"/>
    <col min="3589" max="3840" width="15.625" style="86"/>
    <col min="3841" max="3841" width="4.625" style="86" customWidth="1"/>
    <col min="3842" max="3842" width="29.25" style="86" customWidth="1"/>
    <col min="3843" max="3843" width="13" style="86" customWidth="1"/>
    <col min="3844" max="3844" width="20" style="86" customWidth="1"/>
    <col min="3845" max="4096" width="15.625" style="86"/>
    <col min="4097" max="4097" width="4.625" style="86" customWidth="1"/>
    <col min="4098" max="4098" width="29.25" style="86" customWidth="1"/>
    <col min="4099" max="4099" width="13" style="86" customWidth="1"/>
    <col min="4100" max="4100" width="20" style="86" customWidth="1"/>
    <col min="4101" max="4352" width="15.625" style="86"/>
    <col min="4353" max="4353" width="4.625" style="86" customWidth="1"/>
    <col min="4354" max="4354" width="29.25" style="86" customWidth="1"/>
    <col min="4355" max="4355" width="13" style="86" customWidth="1"/>
    <col min="4356" max="4356" width="20" style="86" customWidth="1"/>
    <col min="4357" max="4608" width="15.625" style="86"/>
    <col min="4609" max="4609" width="4.625" style="86" customWidth="1"/>
    <col min="4610" max="4610" width="29.25" style="86" customWidth="1"/>
    <col min="4611" max="4611" width="13" style="86" customWidth="1"/>
    <col min="4612" max="4612" width="20" style="86" customWidth="1"/>
    <col min="4613" max="4864" width="15.625" style="86"/>
    <col min="4865" max="4865" width="4.625" style="86" customWidth="1"/>
    <col min="4866" max="4866" width="29.25" style="86" customWidth="1"/>
    <col min="4867" max="4867" width="13" style="86" customWidth="1"/>
    <col min="4868" max="4868" width="20" style="86" customWidth="1"/>
    <col min="4869" max="5120" width="15.625" style="86"/>
    <col min="5121" max="5121" width="4.625" style="86" customWidth="1"/>
    <col min="5122" max="5122" width="29.25" style="86" customWidth="1"/>
    <col min="5123" max="5123" width="13" style="86" customWidth="1"/>
    <col min="5124" max="5124" width="20" style="86" customWidth="1"/>
    <col min="5125" max="5376" width="15.625" style="86"/>
    <col min="5377" max="5377" width="4.625" style="86" customWidth="1"/>
    <col min="5378" max="5378" width="29.25" style="86" customWidth="1"/>
    <col min="5379" max="5379" width="13" style="86" customWidth="1"/>
    <col min="5380" max="5380" width="20" style="86" customWidth="1"/>
    <col min="5381" max="5632" width="15.625" style="86"/>
    <col min="5633" max="5633" width="4.625" style="86" customWidth="1"/>
    <col min="5634" max="5634" width="29.25" style="86" customWidth="1"/>
    <col min="5635" max="5635" width="13" style="86" customWidth="1"/>
    <col min="5636" max="5636" width="20" style="86" customWidth="1"/>
    <col min="5637" max="5888" width="15.625" style="86"/>
    <col min="5889" max="5889" width="4.625" style="86" customWidth="1"/>
    <col min="5890" max="5890" width="29.25" style="86" customWidth="1"/>
    <col min="5891" max="5891" width="13" style="86" customWidth="1"/>
    <col min="5892" max="5892" width="20" style="86" customWidth="1"/>
    <col min="5893" max="6144" width="15.625" style="86"/>
    <col min="6145" max="6145" width="4.625" style="86" customWidth="1"/>
    <col min="6146" max="6146" width="29.25" style="86" customWidth="1"/>
    <col min="6147" max="6147" width="13" style="86" customWidth="1"/>
    <col min="6148" max="6148" width="20" style="86" customWidth="1"/>
    <col min="6149" max="6400" width="15.625" style="86"/>
    <col min="6401" max="6401" width="4.625" style="86" customWidth="1"/>
    <col min="6402" max="6402" width="29.25" style="86" customWidth="1"/>
    <col min="6403" max="6403" width="13" style="86" customWidth="1"/>
    <col min="6404" max="6404" width="20" style="86" customWidth="1"/>
    <col min="6405" max="6656" width="15.625" style="86"/>
    <col min="6657" max="6657" width="4.625" style="86" customWidth="1"/>
    <col min="6658" max="6658" width="29.25" style="86" customWidth="1"/>
    <col min="6659" max="6659" width="13" style="86" customWidth="1"/>
    <col min="6660" max="6660" width="20" style="86" customWidth="1"/>
    <col min="6661" max="6912" width="15.625" style="86"/>
    <col min="6913" max="6913" width="4.625" style="86" customWidth="1"/>
    <col min="6914" max="6914" width="29.25" style="86" customWidth="1"/>
    <col min="6915" max="6915" width="13" style="86" customWidth="1"/>
    <col min="6916" max="6916" width="20" style="86" customWidth="1"/>
    <col min="6917" max="7168" width="15.625" style="86"/>
    <col min="7169" max="7169" width="4.625" style="86" customWidth="1"/>
    <col min="7170" max="7170" width="29.25" style="86" customWidth="1"/>
    <col min="7171" max="7171" width="13" style="86" customWidth="1"/>
    <col min="7172" max="7172" width="20" style="86" customWidth="1"/>
    <col min="7173" max="7424" width="15.625" style="86"/>
    <col min="7425" max="7425" width="4.625" style="86" customWidth="1"/>
    <col min="7426" max="7426" width="29.25" style="86" customWidth="1"/>
    <col min="7427" max="7427" width="13" style="86" customWidth="1"/>
    <col min="7428" max="7428" width="20" style="86" customWidth="1"/>
    <col min="7429" max="7680" width="15.625" style="86"/>
    <col min="7681" max="7681" width="4.625" style="86" customWidth="1"/>
    <col min="7682" max="7682" width="29.25" style="86" customWidth="1"/>
    <col min="7683" max="7683" width="13" style="86" customWidth="1"/>
    <col min="7684" max="7684" width="20" style="86" customWidth="1"/>
    <col min="7685" max="7936" width="15.625" style="86"/>
    <col min="7937" max="7937" width="4.625" style="86" customWidth="1"/>
    <col min="7938" max="7938" width="29.25" style="86" customWidth="1"/>
    <col min="7939" max="7939" width="13" style="86" customWidth="1"/>
    <col min="7940" max="7940" width="20" style="86" customWidth="1"/>
    <col min="7941" max="8192" width="15.625" style="86"/>
    <col min="8193" max="8193" width="4.625" style="86" customWidth="1"/>
    <col min="8194" max="8194" width="29.25" style="86" customWidth="1"/>
    <col min="8195" max="8195" width="13" style="86" customWidth="1"/>
    <col min="8196" max="8196" width="20" style="86" customWidth="1"/>
    <col min="8197" max="8448" width="15.625" style="86"/>
    <col min="8449" max="8449" width="4.625" style="86" customWidth="1"/>
    <col min="8450" max="8450" width="29.25" style="86" customWidth="1"/>
    <col min="8451" max="8451" width="13" style="86" customWidth="1"/>
    <col min="8452" max="8452" width="20" style="86" customWidth="1"/>
    <col min="8453" max="8704" width="15.625" style="86"/>
    <col min="8705" max="8705" width="4.625" style="86" customWidth="1"/>
    <col min="8706" max="8706" width="29.25" style="86" customWidth="1"/>
    <col min="8707" max="8707" width="13" style="86" customWidth="1"/>
    <col min="8708" max="8708" width="20" style="86" customWidth="1"/>
    <col min="8709" max="8960" width="15.625" style="86"/>
    <col min="8961" max="8961" width="4.625" style="86" customWidth="1"/>
    <col min="8962" max="8962" width="29.25" style="86" customWidth="1"/>
    <col min="8963" max="8963" width="13" style="86" customWidth="1"/>
    <col min="8964" max="8964" width="20" style="86" customWidth="1"/>
    <col min="8965" max="9216" width="15.625" style="86"/>
    <col min="9217" max="9217" width="4.625" style="86" customWidth="1"/>
    <col min="9218" max="9218" width="29.25" style="86" customWidth="1"/>
    <col min="9219" max="9219" width="13" style="86" customWidth="1"/>
    <col min="9220" max="9220" width="20" style="86" customWidth="1"/>
    <col min="9221" max="9472" width="15.625" style="86"/>
    <col min="9473" max="9473" width="4.625" style="86" customWidth="1"/>
    <col min="9474" max="9474" width="29.25" style="86" customWidth="1"/>
    <col min="9475" max="9475" width="13" style="86" customWidth="1"/>
    <col min="9476" max="9476" width="20" style="86" customWidth="1"/>
    <col min="9477" max="9728" width="15.625" style="86"/>
    <col min="9729" max="9729" width="4.625" style="86" customWidth="1"/>
    <col min="9730" max="9730" width="29.25" style="86" customWidth="1"/>
    <col min="9731" max="9731" width="13" style="86" customWidth="1"/>
    <col min="9732" max="9732" width="20" style="86" customWidth="1"/>
    <col min="9733" max="9984" width="15.625" style="86"/>
    <col min="9985" max="9985" width="4.625" style="86" customWidth="1"/>
    <col min="9986" max="9986" width="29.25" style="86" customWidth="1"/>
    <col min="9987" max="9987" width="13" style="86" customWidth="1"/>
    <col min="9988" max="9988" width="20" style="86" customWidth="1"/>
    <col min="9989" max="10240" width="15.625" style="86"/>
    <col min="10241" max="10241" width="4.625" style="86" customWidth="1"/>
    <col min="10242" max="10242" width="29.25" style="86" customWidth="1"/>
    <col min="10243" max="10243" width="13" style="86" customWidth="1"/>
    <col min="10244" max="10244" width="20" style="86" customWidth="1"/>
    <col min="10245" max="10496" width="15.625" style="86"/>
    <col min="10497" max="10497" width="4.625" style="86" customWidth="1"/>
    <col min="10498" max="10498" width="29.25" style="86" customWidth="1"/>
    <col min="10499" max="10499" width="13" style="86" customWidth="1"/>
    <col min="10500" max="10500" width="20" style="86" customWidth="1"/>
    <col min="10501" max="10752" width="15.625" style="86"/>
    <col min="10753" max="10753" width="4.625" style="86" customWidth="1"/>
    <col min="10754" max="10754" width="29.25" style="86" customWidth="1"/>
    <col min="10755" max="10755" width="13" style="86" customWidth="1"/>
    <col min="10756" max="10756" width="20" style="86" customWidth="1"/>
    <col min="10757" max="11008" width="15.625" style="86"/>
    <col min="11009" max="11009" width="4.625" style="86" customWidth="1"/>
    <col min="11010" max="11010" width="29.25" style="86" customWidth="1"/>
    <col min="11011" max="11011" width="13" style="86" customWidth="1"/>
    <col min="11012" max="11012" width="20" style="86" customWidth="1"/>
    <col min="11013" max="11264" width="15.625" style="86"/>
    <col min="11265" max="11265" width="4.625" style="86" customWidth="1"/>
    <col min="11266" max="11266" width="29.25" style="86" customWidth="1"/>
    <col min="11267" max="11267" width="13" style="86" customWidth="1"/>
    <col min="11268" max="11268" width="20" style="86" customWidth="1"/>
    <col min="11269" max="11520" width="15.625" style="86"/>
    <col min="11521" max="11521" width="4.625" style="86" customWidth="1"/>
    <col min="11522" max="11522" width="29.25" style="86" customWidth="1"/>
    <col min="11523" max="11523" width="13" style="86" customWidth="1"/>
    <col min="11524" max="11524" width="20" style="86" customWidth="1"/>
    <col min="11525" max="11776" width="15.625" style="86"/>
    <col min="11777" max="11777" width="4.625" style="86" customWidth="1"/>
    <col min="11778" max="11778" width="29.25" style="86" customWidth="1"/>
    <col min="11779" max="11779" width="13" style="86" customWidth="1"/>
    <col min="11780" max="11780" width="20" style="86" customWidth="1"/>
    <col min="11781" max="12032" width="15.625" style="86"/>
    <col min="12033" max="12033" width="4.625" style="86" customWidth="1"/>
    <col min="12034" max="12034" width="29.25" style="86" customWidth="1"/>
    <col min="12035" max="12035" width="13" style="86" customWidth="1"/>
    <col min="12036" max="12036" width="20" style="86" customWidth="1"/>
    <col min="12037" max="12288" width="15.625" style="86"/>
    <col min="12289" max="12289" width="4.625" style="86" customWidth="1"/>
    <col min="12290" max="12290" width="29.25" style="86" customWidth="1"/>
    <col min="12291" max="12291" width="13" style="86" customWidth="1"/>
    <col min="12292" max="12292" width="20" style="86" customWidth="1"/>
    <col min="12293" max="12544" width="15.625" style="86"/>
    <col min="12545" max="12545" width="4.625" style="86" customWidth="1"/>
    <col min="12546" max="12546" width="29.25" style="86" customWidth="1"/>
    <col min="12547" max="12547" width="13" style="86" customWidth="1"/>
    <col min="12548" max="12548" width="20" style="86" customWidth="1"/>
    <col min="12549" max="12800" width="15.625" style="86"/>
    <col min="12801" max="12801" width="4.625" style="86" customWidth="1"/>
    <col min="12802" max="12802" width="29.25" style="86" customWidth="1"/>
    <col min="12803" max="12803" width="13" style="86" customWidth="1"/>
    <col min="12804" max="12804" width="20" style="86" customWidth="1"/>
    <col min="12805" max="13056" width="15.625" style="86"/>
    <col min="13057" max="13057" width="4.625" style="86" customWidth="1"/>
    <col min="13058" max="13058" width="29.25" style="86" customWidth="1"/>
    <col min="13059" max="13059" width="13" style="86" customWidth="1"/>
    <col min="13060" max="13060" width="20" style="86" customWidth="1"/>
    <col min="13061" max="13312" width="15.625" style="86"/>
    <col min="13313" max="13313" width="4.625" style="86" customWidth="1"/>
    <col min="13314" max="13314" width="29.25" style="86" customWidth="1"/>
    <col min="13315" max="13315" width="13" style="86" customWidth="1"/>
    <col min="13316" max="13316" width="20" style="86" customWidth="1"/>
    <col min="13317" max="13568" width="15.625" style="86"/>
    <col min="13569" max="13569" width="4.625" style="86" customWidth="1"/>
    <col min="13570" max="13570" width="29.25" style="86" customWidth="1"/>
    <col min="13571" max="13571" width="13" style="86" customWidth="1"/>
    <col min="13572" max="13572" width="20" style="86" customWidth="1"/>
    <col min="13573" max="13824" width="15.625" style="86"/>
    <col min="13825" max="13825" width="4.625" style="86" customWidth="1"/>
    <col min="13826" max="13826" width="29.25" style="86" customWidth="1"/>
    <col min="13827" max="13827" width="13" style="86" customWidth="1"/>
    <col min="13828" max="13828" width="20" style="86" customWidth="1"/>
    <col min="13829" max="14080" width="15.625" style="86"/>
    <col min="14081" max="14081" width="4.625" style="86" customWidth="1"/>
    <col min="14082" max="14082" width="29.25" style="86" customWidth="1"/>
    <col min="14083" max="14083" width="13" style="86" customWidth="1"/>
    <col min="14084" max="14084" width="20" style="86" customWidth="1"/>
    <col min="14085" max="14336" width="15.625" style="86"/>
    <col min="14337" max="14337" width="4.625" style="86" customWidth="1"/>
    <col min="14338" max="14338" width="29.25" style="86" customWidth="1"/>
    <col min="14339" max="14339" width="13" style="86" customWidth="1"/>
    <col min="14340" max="14340" width="20" style="86" customWidth="1"/>
    <col min="14341" max="14592" width="15.625" style="86"/>
    <col min="14593" max="14593" width="4.625" style="86" customWidth="1"/>
    <col min="14594" max="14594" width="29.25" style="86" customWidth="1"/>
    <col min="14595" max="14595" width="13" style="86" customWidth="1"/>
    <col min="14596" max="14596" width="20" style="86" customWidth="1"/>
    <col min="14597" max="14848" width="15.625" style="86"/>
    <col min="14849" max="14849" width="4.625" style="86" customWidth="1"/>
    <col min="14850" max="14850" width="29.25" style="86" customWidth="1"/>
    <col min="14851" max="14851" width="13" style="86" customWidth="1"/>
    <col min="14852" max="14852" width="20" style="86" customWidth="1"/>
    <col min="14853" max="15104" width="15.625" style="86"/>
    <col min="15105" max="15105" width="4.625" style="86" customWidth="1"/>
    <col min="15106" max="15106" width="29.25" style="86" customWidth="1"/>
    <col min="15107" max="15107" width="13" style="86" customWidth="1"/>
    <col min="15108" max="15108" width="20" style="86" customWidth="1"/>
    <col min="15109" max="15360" width="15.625" style="86"/>
    <col min="15361" max="15361" width="4.625" style="86" customWidth="1"/>
    <col min="15362" max="15362" width="29.25" style="86" customWidth="1"/>
    <col min="15363" max="15363" width="13" style="86" customWidth="1"/>
    <col min="15364" max="15364" width="20" style="86" customWidth="1"/>
    <col min="15365" max="15616" width="15.625" style="86"/>
    <col min="15617" max="15617" width="4.625" style="86" customWidth="1"/>
    <col min="15618" max="15618" width="29.25" style="86" customWidth="1"/>
    <col min="15619" max="15619" width="13" style="86" customWidth="1"/>
    <col min="15620" max="15620" width="20" style="86" customWidth="1"/>
    <col min="15621" max="15872" width="15.625" style="86"/>
    <col min="15873" max="15873" width="4.625" style="86" customWidth="1"/>
    <col min="15874" max="15874" width="29.25" style="86" customWidth="1"/>
    <col min="15875" max="15875" width="13" style="86" customWidth="1"/>
    <col min="15876" max="15876" width="20" style="86" customWidth="1"/>
    <col min="15877" max="16128" width="15.625" style="86"/>
    <col min="16129" max="16129" width="4.625" style="86" customWidth="1"/>
    <col min="16130" max="16130" width="29.25" style="86" customWidth="1"/>
    <col min="16131" max="16131" width="13" style="86" customWidth="1"/>
    <col min="16132" max="16132" width="20" style="86" customWidth="1"/>
    <col min="16133" max="16384" width="15.625" style="86"/>
  </cols>
  <sheetData>
    <row r="1" spans="1:16" ht="25.5">
      <c r="A1" s="345" t="s">
        <v>265</v>
      </c>
      <c r="B1" s="346"/>
      <c r="C1" s="346"/>
      <c r="D1" s="346"/>
      <c r="E1" s="346"/>
      <c r="F1" s="346"/>
      <c r="G1" s="346"/>
      <c r="H1" s="346"/>
      <c r="I1" s="346"/>
      <c r="J1" s="346"/>
      <c r="K1" s="346"/>
      <c r="L1" s="346"/>
      <c r="M1" s="346"/>
      <c r="N1" s="346"/>
      <c r="O1" s="346"/>
      <c r="P1" s="346"/>
    </row>
    <row r="2" spans="1:16" ht="30" customHeight="1">
      <c r="A2" s="87" t="s">
        <v>1</v>
      </c>
      <c r="B2" s="87" t="s">
        <v>2</v>
      </c>
      <c r="C2" s="87" t="s">
        <v>3</v>
      </c>
      <c r="D2" s="88" t="s">
        <v>4</v>
      </c>
      <c r="E2" s="88" t="s">
        <v>266</v>
      </c>
      <c r="F2" s="88" t="s">
        <v>267</v>
      </c>
      <c r="G2" s="88" t="s">
        <v>268</v>
      </c>
      <c r="H2" s="88" t="s">
        <v>269</v>
      </c>
      <c r="I2" s="88" t="s">
        <v>270</v>
      </c>
      <c r="J2" s="88" t="s">
        <v>271</v>
      </c>
      <c r="K2" s="88" t="s">
        <v>272</v>
      </c>
      <c r="L2" s="88" t="s">
        <v>273</v>
      </c>
      <c r="M2" s="88" t="s">
        <v>274</v>
      </c>
      <c r="N2" s="88" t="s">
        <v>275</v>
      </c>
      <c r="O2" s="88" t="s">
        <v>24</v>
      </c>
      <c r="P2" s="89" t="s">
        <v>25</v>
      </c>
    </row>
    <row r="3" spans="1:16">
      <c r="A3" s="90" t="s">
        <v>26</v>
      </c>
      <c r="B3" s="91" t="s">
        <v>27</v>
      </c>
      <c r="C3" s="91"/>
      <c r="D3" s="92" t="s">
        <v>28</v>
      </c>
      <c r="E3" s="19">
        <f t="shared" ref="E3:N3" si="0">E4+E30+E49</f>
        <v>31667865.210000001</v>
      </c>
      <c r="F3" s="19">
        <f t="shared" si="0"/>
        <v>24120794.590000004</v>
      </c>
      <c r="G3" s="19">
        <f t="shared" si="0"/>
        <v>43888663.520000003</v>
      </c>
      <c r="H3" s="19">
        <f t="shared" si="0"/>
        <v>35132186.140000001</v>
      </c>
      <c r="I3" s="19">
        <f t="shared" si="0"/>
        <v>29130852.210000001</v>
      </c>
      <c r="J3" s="19">
        <f t="shared" si="0"/>
        <v>20055281.75</v>
      </c>
      <c r="K3" s="19">
        <f t="shared" si="0"/>
        <v>18481524.969999999</v>
      </c>
      <c r="L3" s="19">
        <f t="shared" si="0"/>
        <v>13268283.579999998</v>
      </c>
      <c r="M3" s="19">
        <f t="shared" si="0"/>
        <v>16345660.029999999</v>
      </c>
      <c r="N3" s="19">
        <f t="shared" si="0"/>
        <v>520535.56</v>
      </c>
      <c r="O3" s="19">
        <f t="shared" ref="O3:O9" si="1">SUM(E3:N3)</f>
        <v>232611647.56000003</v>
      </c>
      <c r="P3" s="93"/>
    </row>
    <row r="4" spans="1:16">
      <c r="A4" s="90" t="s">
        <v>29</v>
      </c>
      <c r="B4" s="91" t="s">
        <v>30</v>
      </c>
      <c r="C4" s="91"/>
      <c r="D4" s="92" t="s">
        <v>28</v>
      </c>
      <c r="E4" s="19">
        <f t="shared" ref="E4:N4" si="2">E5+E8+E12+E15+E18+E20+E23+E25+E27+E28+E29</f>
        <v>28142842.48</v>
      </c>
      <c r="F4" s="19">
        <f t="shared" si="2"/>
        <v>21122888.240000002</v>
      </c>
      <c r="G4" s="19">
        <f t="shared" si="2"/>
        <v>38316733.82</v>
      </c>
      <c r="H4" s="19">
        <f t="shared" si="2"/>
        <v>29836545.740000002</v>
      </c>
      <c r="I4" s="19">
        <f t="shared" si="2"/>
        <v>24764070.059999999</v>
      </c>
      <c r="J4" s="19">
        <f t="shared" si="2"/>
        <v>17504316.5</v>
      </c>
      <c r="K4" s="19">
        <f t="shared" si="2"/>
        <v>16334748.220000001</v>
      </c>
      <c r="L4" s="19">
        <f t="shared" si="2"/>
        <v>11527922.879999999</v>
      </c>
      <c r="M4" s="19">
        <f t="shared" si="2"/>
        <v>14371969.779999999</v>
      </c>
      <c r="N4" s="19">
        <f t="shared" si="2"/>
        <v>388090.56</v>
      </c>
      <c r="O4" s="19">
        <f t="shared" si="1"/>
        <v>202310128.28</v>
      </c>
      <c r="P4" s="93"/>
    </row>
    <row r="5" spans="1:16">
      <c r="A5" s="90" t="s">
        <v>31</v>
      </c>
      <c r="B5" s="91" t="s">
        <v>32</v>
      </c>
      <c r="C5" s="91"/>
      <c r="D5" s="92" t="s">
        <v>28</v>
      </c>
      <c r="E5" s="19">
        <f>E6+E7</f>
        <v>3988530</v>
      </c>
      <c r="F5" s="19">
        <f>F6+F7</f>
        <v>3012300</v>
      </c>
      <c r="G5" s="19">
        <f t="shared" ref="G5:N5" si="3">G6+G7</f>
        <v>6029300</v>
      </c>
      <c r="H5" s="19">
        <f t="shared" si="3"/>
        <v>3961260</v>
      </c>
      <c r="I5" s="19">
        <f t="shared" si="3"/>
        <v>3334668</v>
      </c>
      <c r="J5" s="19">
        <f t="shared" si="3"/>
        <v>2275390</v>
      </c>
      <c r="K5" s="19">
        <f t="shared" si="3"/>
        <v>2194360</v>
      </c>
      <c r="L5" s="19">
        <f t="shared" si="3"/>
        <v>1503360</v>
      </c>
      <c r="M5" s="19">
        <f t="shared" si="3"/>
        <v>2000870</v>
      </c>
      <c r="N5" s="19">
        <f t="shared" si="3"/>
        <v>63444</v>
      </c>
      <c r="O5" s="19">
        <f t="shared" si="1"/>
        <v>28363482</v>
      </c>
      <c r="P5" s="93"/>
    </row>
    <row r="6" spans="1:16">
      <c r="A6" s="90" t="s">
        <v>33</v>
      </c>
      <c r="B6" s="91" t="s">
        <v>34</v>
      </c>
      <c r="C6" s="91" t="s">
        <v>35</v>
      </c>
      <c r="D6" s="92" t="s">
        <v>36</v>
      </c>
      <c r="E6" s="22">
        <v>2186340</v>
      </c>
      <c r="F6" s="22">
        <v>1681200</v>
      </c>
      <c r="G6" s="22">
        <v>3098200</v>
      </c>
      <c r="H6" s="22">
        <v>2204904</v>
      </c>
      <c r="I6" s="22">
        <v>1830792</v>
      </c>
      <c r="J6" s="22">
        <v>1435090</v>
      </c>
      <c r="K6" s="22">
        <v>1294470</v>
      </c>
      <c r="L6" s="22">
        <v>922310</v>
      </c>
      <c r="M6" s="22">
        <v>1216720</v>
      </c>
      <c r="N6" s="22">
        <v>31284</v>
      </c>
      <c r="O6" s="19">
        <f t="shared" si="1"/>
        <v>15901310</v>
      </c>
      <c r="P6" s="94"/>
    </row>
    <row r="7" spans="1:16">
      <c r="A7" s="90" t="s">
        <v>37</v>
      </c>
      <c r="B7" s="91" t="s">
        <v>38</v>
      </c>
      <c r="C7" s="91" t="s">
        <v>35</v>
      </c>
      <c r="D7" s="92" t="s">
        <v>36</v>
      </c>
      <c r="E7" s="22">
        <v>1802190</v>
      </c>
      <c r="F7" s="22">
        <v>1331100</v>
      </c>
      <c r="G7" s="22">
        <v>2931100</v>
      </c>
      <c r="H7" s="22">
        <v>1756356</v>
      </c>
      <c r="I7" s="22">
        <v>1503876</v>
      </c>
      <c r="J7" s="22">
        <v>840300</v>
      </c>
      <c r="K7" s="22">
        <v>899890</v>
      </c>
      <c r="L7" s="22">
        <v>581050</v>
      </c>
      <c r="M7" s="22">
        <v>784150</v>
      </c>
      <c r="N7" s="22">
        <v>32160</v>
      </c>
      <c r="O7" s="19">
        <f t="shared" si="1"/>
        <v>12462172</v>
      </c>
      <c r="P7" s="93"/>
    </row>
    <row r="8" spans="1:16">
      <c r="A8" s="90" t="s">
        <v>39</v>
      </c>
      <c r="B8" s="91" t="s">
        <v>40</v>
      </c>
      <c r="C8" s="91"/>
      <c r="D8" s="92" t="s">
        <v>28</v>
      </c>
      <c r="E8" s="19">
        <f>E9+E10</f>
        <v>422856</v>
      </c>
      <c r="F8" s="19">
        <f>F9+F10</f>
        <v>315990</v>
      </c>
      <c r="G8" s="19">
        <f t="shared" ref="G8:N8" si="4">G9+G10</f>
        <v>600780</v>
      </c>
      <c r="H8" s="19">
        <f t="shared" si="4"/>
        <v>460030</v>
      </c>
      <c r="I8" s="19">
        <f t="shared" si="4"/>
        <v>374990</v>
      </c>
      <c r="J8" s="19">
        <f t="shared" si="4"/>
        <v>288176</v>
      </c>
      <c r="K8" s="19">
        <f t="shared" si="4"/>
        <v>267200</v>
      </c>
      <c r="L8" s="19">
        <f t="shared" si="4"/>
        <v>197880</v>
      </c>
      <c r="M8" s="19">
        <f t="shared" si="4"/>
        <v>240828</v>
      </c>
      <c r="N8" s="19">
        <f t="shared" si="4"/>
        <v>5280</v>
      </c>
      <c r="O8" s="19">
        <f t="shared" si="1"/>
        <v>3174010</v>
      </c>
      <c r="P8" s="93"/>
    </row>
    <row r="9" spans="1:16">
      <c r="A9" s="90" t="s">
        <v>41</v>
      </c>
      <c r="B9" s="91" t="s">
        <v>42</v>
      </c>
      <c r="C9" s="91" t="s">
        <v>35</v>
      </c>
      <c r="D9" s="92" t="s">
        <v>36</v>
      </c>
      <c r="E9" s="22">
        <v>5736</v>
      </c>
      <c r="F9" s="22">
        <v>4470</v>
      </c>
      <c r="G9" s="22">
        <v>9420</v>
      </c>
      <c r="H9" s="22">
        <v>5950</v>
      </c>
      <c r="I9" s="22">
        <v>5390</v>
      </c>
      <c r="J9" s="22">
        <v>3056</v>
      </c>
      <c r="K9" s="22">
        <v>3200</v>
      </c>
      <c r="L9" s="22">
        <v>2520</v>
      </c>
      <c r="M9" s="22">
        <v>3228</v>
      </c>
      <c r="N9" s="22"/>
      <c r="O9" s="19">
        <f t="shared" si="1"/>
        <v>42970</v>
      </c>
      <c r="P9" s="93"/>
    </row>
    <row r="10" spans="1:16">
      <c r="A10" s="90" t="s">
        <v>43</v>
      </c>
      <c r="B10" s="91" t="s">
        <v>44</v>
      </c>
      <c r="C10" s="91"/>
      <c r="D10" s="92" t="s">
        <v>28</v>
      </c>
      <c r="E10" s="19">
        <f>E11</f>
        <v>417120</v>
      </c>
      <c r="F10" s="19">
        <f>F11</f>
        <v>311520</v>
      </c>
      <c r="G10" s="19">
        <f t="shared" ref="G10:O10" si="5">G11</f>
        <v>591360</v>
      </c>
      <c r="H10" s="19">
        <f t="shared" si="5"/>
        <v>454080</v>
      </c>
      <c r="I10" s="19">
        <f t="shared" si="5"/>
        <v>369600</v>
      </c>
      <c r="J10" s="19">
        <f t="shared" si="5"/>
        <v>285120</v>
      </c>
      <c r="K10" s="19">
        <f t="shared" si="5"/>
        <v>264000</v>
      </c>
      <c r="L10" s="19">
        <f t="shared" si="5"/>
        <v>195360</v>
      </c>
      <c r="M10" s="19">
        <f t="shared" si="5"/>
        <v>237600</v>
      </c>
      <c r="N10" s="19">
        <f t="shared" si="5"/>
        <v>5280</v>
      </c>
      <c r="O10" s="19">
        <f t="shared" si="5"/>
        <v>3131040</v>
      </c>
      <c r="P10" s="93"/>
    </row>
    <row r="11" spans="1:16" s="96" customFormat="1">
      <c r="A11" s="90" t="s">
        <v>45</v>
      </c>
      <c r="B11" s="95" t="s">
        <v>276</v>
      </c>
      <c r="C11" s="95" t="s">
        <v>35</v>
      </c>
      <c r="D11" s="93" t="s">
        <v>28</v>
      </c>
      <c r="E11" s="19">
        <f>440*12*E93</f>
        <v>417120</v>
      </c>
      <c r="F11" s="19">
        <f t="shared" ref="F11:N11" si="6">440*12*F93</f>
        <v>311520</v>
      </c>
      <c r="G11" s="19">
        <f t="shared" si="6"/>
        <v>591360</v>
      </c>
      <c r="H11" s="19">
        <f t="shared" si="6"/>
        <v>454080</v>
      </c>
      <c r="I11" s="19">
        <f t="shared" si="6"/>
        <v>369600</v>
      </c>
      <c r="J11" s="19">
        <f t="shared" si="6"/>
        <v>285120</v>
      </c>
      <c r="K11" s="19">
        <f t="shared" si="6"/>
        <v>264000</v>
      </c>
      <c r="L11" s="19">
        <f t="shared" si="6"/>
        <v>195360</v>
      </c>
      <c r="M11" s="19">
        <f t="shared" si="6"/>
        <v>237600</v>
      </c>
      <c r="N11" s="19">
        <f t="shared" si="6"/>
        <v>5280</v>
      </c>
      <c r="O11" s="19">
        <f t="shared" ref="O11:O26" si="7">SUM(E11:N11)</f>
        <v>3131040</v>
      </c>
      <c r="P11" s="93"/>
    </row>
    <row r="12" spans="1:16">
      <c r="A12" s="90" t="s">
        <v>47</v>
      </c>
      <c r="B12" s="91" t="s">
        <v>48</v>
      </c>
      <c r="C12" s="91"/>
      <c r="D12" s="92" t="s">
        <v>49</v>
      </c>
      <c r="E12" s="19">
        <f>E13+E14</f>
        <v>133116.48000000001</v>
      </c>
      <c r="F12" s="19">
        <f t="shared" ref="F12:N12" si="8">F13+F14</f>
        <v>100578.23999999999</v>
      </c>
      <c r="G12" s="19">
        <f t="shared" si="8"/>
        <v>156721.82</v>
      </c>
      <c r="H12" s="19">
        <f t="shared" si="8"/>
        <v>138063.74</v>
      </c>
      <c r="I12" s="19">
        <f t="shared" si="8"/>
        <v>118385.06</v>
      </c>
      <c r="J12" s="19">
        <f t="shared" si="8"/>
        <v>84797.5</v>
      </c>
      <c r="K12" s="19">
        <f t="shared" si="8"/>
        <v>79156.22</v>
      </c>
      <c r="L12" s="19">
        <f t="shared" si="8"/>
        <v>51392.880000000005</v>
      </c>
      <c r="M12" s="19">
        <f t="shared" si="8"/>
        <v>65428.78</v>
      </c>
      <c r="N12" s="19">
        <f t="shared" si="8"/>
        <v>2086.56</v>
      </c>
      <c r="O12" s="19">
        <f t="shared" si="7"/>
        <v>929727.28000000014</v>
      </c>
      <c r="P12" s="93"/>
    </row>
    <row r="13" spans="1:16" s="96" customFormat="1">
      <c r="A13" s="90" t="s">
        <v>50</v>
      </c>
      <c r="B13" s="132" t="s">
        <v>591</v>
      </c>
      <c r="C13" s="95" t="s">
        <v>35</v>
      </c>
      <c r="D13" s="93" t="s">
        <v>51</v>
      </c>
      <c r="E13" s="19">
        <f>ROUND(E28/0.07*0.00256,2)</f>
        <v>45076.480000000003</v>
      </c>
      <c r="F13" s="19">
        <f>ROUND(F28/0.07*0.00256,2)</f>
        <v>34058.239999999998</v>
      </c>
      <c r="G13" s="19">
        <f t="shared" ref="G13:N13" si="9">ROUND(G28/0.07*0.00256,2)</f>
        <v>53069.82</v>
      </c>
      <c r="H13" s="19">
        <f t="shared" si="9"/>
        <v>46751.74</v>
      </c>
      <c r="I13" s="19">
        <f t="shared" si="9"/>
        <v>40088.06</v>
      </c>
      <c r="J13" s="19">
        <f t="shared" si="9"/>
        <v>28714.5</v>
      </c>
      <c r="K13" s="19">
        <f t="shared" si="9"/>
        <v>26804.22</v>
      </c>
      <c r="L13" s="19">
        <f t="shared" si="9"/>
        <v>17402.88</v>
      </c>
      <c r="M13" s="19">
        <f t="shared" si="9"/>
        <v>22155.78</v>
      </c>
      <c r="N13" s="19">
        <f t="shared" si="9"/>
        <v>706.56</v>
      </c>
      <c r="O13" s="19">
        <f t="shared" si="7"/>
        <v>314828.27999999997</v>
      </c>
      <c r="P13" s="93"/>
    </row>
    <row r="14" spans="1:16" s="96" customFormat="1">
      <c r="A14" s="90" t="s">
        <v>52</v>
      </c>
      <c r="B14" s="132" t="s">
        <v>592</v>
      </c>
      <c r="C14" s="95" t="s">
        <v>35</v>
      </c>
      <c r="D14" s="93" t="s">
        <v>51</v>
      </c>
      <c r="E14" s="19">
        <f>ROUND(E28/0.07*0.005,2)</f>
        <v>88040</v>
      </c>
      <c r="F14" s="19">
        <f>ROUND(F28/0.07*0.005,2)</f>
        <v>66520</v>
      </c>
      <c r="G14" s="19">
        <f t="shared" ref="G14:N14" si="10">ROUND(G28/0.07*0.005,2)</f>
        <v>103652</v>
      </c>
      <c r="H14" s="19">
        <f t="shared" si="10"/>
        <v>91312</v>
      </c>
      <c r="I14" s="19">
        <f t="shared" si="10"/>
        <v>78297</v>
      </c>
      <c r="J14" s="19">
        <f t="shared" si="10"/>
        <v>56083</v>
      </c>
      <c r="K14" s="19">
        <f t="shared" si="10"/>
        <v>52352</v>
      </c>
      <c r="L14" s="19">
        <f t="shared" si="10"/>
        <v>33990</v>
      </c>
      <c r="M14" s="19">
        <f t="shared" si="10"/>
        <v>43273</v>
      </c>
      <c r="N14" s="19">
        <f t="shared" si="10"/>
        <v>1380</v>
      </c>
      <c r="O14" s="19">
        <f t="shared" si="7"/>
        <v>614899</v>
      </c>
      <c r="P14" s="93"/>
    </row>
    <row r="15" spans="1:16">
      <c r="A15" s="90" t="s">
        <v>53</v>
      </c>
      <c r="B15" s="91" t="s">
        <v>55</v>
      </c>
      <c r="C15" s="91"/>
      <c r="D15" s="92" t="s">
        <v>28</v>
      </c>
      <c r="E15" s="19">
        <v>15112700</v>
      </c>
      <c r="F15" s="19">
        <v>11286700</v>
      </c>
      <c r="G15" s="19">
        <v>21425600</v>
      </c>
      <c r="H15" s="19">
        <v>16451800</v>
      </c>
      <c r="I15" s="19">
        <v>13391000</v>
      </c>
      <c r="J15" s="19">
        <v>9428400</v>
      </c>
      <c r="K15" s="19">
        <v>8730000</v>
      </c>
      <c r="L15" s="19">
        <v>6460200</v>
      </c>
      <c r="M15" s="19">
        <v>7857000</v>
      </c>
      <c r="N15" s="19">
        <v>185700</v>
      </c>
      <c r="O15" s="19">
        <f t="shared" si="7"/>
        <v>110329100</v>
      </c>
      <c r="P15" s="93"/>
    </row>
    <row r="16" spans="1:16" ht="22.5">
      <c r="A16" s="90" t="s">
        <v>54</v>
      </c>
      <c r="B16" s="97" t="s">
        <v>57</v>
      </c>
      <c r="C16" s="97" t="s">
        <v>35</v>
      </c>
      <c r="D16" s="98" t="s">
        <v>58</v>
      </c>
      <c r="E16" s="99">
        <f>E15-E17</f>
        <v>14873408</v>
      </c>
      <c r="F16" s="99">
        <f t="shared" ref="F16:M16" si="11">F15-F17</f>
        <v>11091208</v>
      </c>
      <c r="G16" s="99">
        <f t="shared" si="11"/>
        <v>20933352</v>
      </c>
      <c r="H16" s="99">
        <f t="shared" si="11"/>
        <v>16004044</v>
      </c>
      <c r="I16" s="99">
        <f t="shared" si="11"/>
        <v>13243290</v>
      </c>
      <c r="J16" s="99">
        <f t="shared" si="11"/>
        <v>9239635</v>
      </c>
      <c r="K16" s="99">
        <f t="shared" si="11"/>
        <v>8538628</v>
      </c>
      <c r="L16" s="99">
        <f t="shared" si="11"/>
        <v>6260224</v>
      </c>
      <c r="M16" s="99">
        <f t="shared" si="11"/>
        <v>7659424</v>
      </c>
      <c r="N16" s="99">
        <f>N15-N17</f>
        <v>185700</v>
      </c>
      <c r="O16" s="19">
        <f t="shared" si="7"/>
        <v>108028913</v>
      </c>
      <c r="P16" s="98"/>
    </row>
    <row r="17" spans="1:16">
      <c r="A17" s="90" t="s">
        <v>56</v>
      </c>
      <c r="B17" s="97" t="s">
        <v>60</v>
      </c>
      <c r="C17" s="97" t="s">
        <v>35</v>
      </c>
      <c r="D17" s="98" t="s">
        <v>61</v>
      </c>
      <c r="E17" s="99">
        <v>239292</v>
      </c>
      <c r="F17" s="99">
        <v>195492</v>
      </c>
      <c r="G17" s="99">
        <v>492248</v>
      </c>
      <c r="H17" s="99">
        <v>447756</v>
      </c>
      <c r="I17" s="99">
        <v>147710</v>
      </c>
      <c r="J17" s="99">
        <v>188765</v>
      </c>
      <c r="K17" s="99">
        <v>191372</v>
      </c>
      <c r="L17" s="99">
        <v>199976</v>
      </c>
      <c r="M17" s="99">
        <v>197576</v>
      </c>
      <c r="N17" s="99"/>
      <c r="O17" s="19">
        <f t="shared" si="7"/>
        <v>2300187</v>
      </c>
      <c r="P17" s="98"/>
    </row>
    <row r="18" spans="1:16">
      <c r="A18" s="90" t="s">
        <v>59</v>
      </c>
      <c r="B18" s="91" t="s">
        <v>63</v>
      </c>
      <c r="C18" s="91"/>
      <c r="D18" s="98" t="s">
        <v>28</v>
      </c>
      <c r="E18" s="100">
        <f>E19</f>
        <v>1848840</v>
      </c>
      <c r="F18" s="100">
        <f>F19</f>
        <v>1396920</v>
      </c>
      <c r="G18" s="100">
        <f t="shared" ref="G18:N18" si="12">G19</f>
        <v>2176692</v>
      </c>
      <c r="H18" s="100">
        <f t="shared" si="12"/>
        <v>1917552</v>
      </c>
      <c r="I18" s="100">
        <f t="shared" si="12"/>
        <v>1644237</v>
      </c>
      <c r="J18" s="100">
        <f t="shared" si="12"/>
        <v>1177743</v>
      </c>
      <c r="K18" s="100">
        <f t="shared" si="12"/>
        <v>1099392</v>
      </c>
      <c r="L18" s="100">
        <f t="shared" si="12"/>
        <v>713790</v>
      </c>
      <c r="M18" s="100">
        <f t="shared" si="12"/>
        <v>908733</v>
      </c>
      <c r="N18" s="100">
        <f t="shared" si="12"/>
        <v>28980</v>
      </c>
      <c r="O18" s="19">
        <f t="shared" si="7"/>
        <v>12912879</v>
      </c>
      <c r="P18" s="98"/>
    </row>
    <row r="19" spans="1:16">
      <c r="A19" s="90" t="s">
        <v>62</v>
      </c>
      <c r="B19" s="91" t="s">
        <v>277</v>
      </c>
      <c r="C19" s="91" t="s">
        <v>66</v>
      </c>
      <c r="D19" s="98" t="s">
        <v>28</v>
      </c>
      <c r="E19" s="100">
        <f>ROUND(E28/0.07*0.105,2)</f>
        <v>1848840</v>
      </c>
      <c r="F19" s="100">
        <f>ROUND(F28/0.07*0.105,2)</f>
        <v>1396920</v>
      </c>
      <c r="G19" s="100">
        <f t="shared" ref="G19:N19" si="13">ROUND(G28/0.07*0.105,2)</f>
        <v>2176692</v>
      </c>
      <c r="H19" s="100">
        <f t="shared" si="13"/>
        <v>1917552</v>
      </c>
      <c r="I19" s="100">
        <f t="shared" si="13"/>
        <v>1644237</v>
      </c>
      <c r="J19" s="100">
        <f t="shared" si="13"/>
        <v>1177743</v>
      </c>
      <c r="K19" s="100">
        <f t="shared" si="13"/>
        <v>1099392</v>
      </c>
      <c r="L19" s="100">
        <f t="shared" si="13"/>
        <v>713790</v>
      </c>
      <c r="M19" s="100">
        <f t="shared" si="13"/>
        <v>908733</v>
      </c>
      <c r="N19" s="100">
        <f t="shared" si="13"/>
        <v>28980</v>
      </c>
      <c r="O19" s="19">
        <f t="shared" si="7"/>
        <v>12912879</v>
      </c>
      <c r="P19" s="98"/>
    </row>
    <row r="20" spans="1:16">
      <c r="A20" s="90" t="s">
        <v>64</v>
      </c>
      <c r="B20" s="91" t="s">
        <v>68</v>
      </c>
      <c r="C20" s="91"/>
      <c r="D20" s="98" t="s">
        <v>51</v>
      </c>
      <c r="E20" s="100">
        <f>E21+E22</f>
        <v>704320</v>
      </c>
      <c r="F20" s="100">
        <f>F21+F22</f>
        <v>532160</v>
      </c>
      <c r="G20" s="100">
        <f t="shared" ref="G20:N20" si="14">G21+G22</f>
        <v>829216</v>
      </c>
      <c r="H20" s="100">
        <f t="shared" si="14"/>
        <v>730496</v>
      </c>
      <c r="I20" s="100">
        <f t="shared" si="14"/>
        <v>626376</v>
      </c>
      <c r="J20" s="100">
        <f t="shared" si="14"/>
        <v>448664</v>
      </c>
      <c r="K20" s="100">
        <f t="shared" si="14"/>
        <v>418816</v>
      </c>
      <c r="L20" s="100">
        <f t="shared" si="14"/>
        <v>271920</v>
      </c>
      <c r="M20" s="100">
        <f t="shared" si="14"/>
        <v>346184</v>
      </c>
      <c r="N20" s="100">
        <f t="shared" si="14"/>
        <v>11040</v>
      </c>
      <c r="O20" s="19">
        <f t="shared" si="7"/>
        <v>4919192</v>
      </c>
      <c r="P20" s="98"/>
    </row>
    <row r="21" spans="1:16">
      <c r="A21" s="90" t="s">
        <v>67</v>
      </c>
      <c r="B21" s="91" t="s">
        <v>70</v>
      </c>
      <c r="C21" s="91" t="s">
        <v>71</v>
      </c>
      <c r="D21" s="98" t="s">
        <v>51</v>
      </c>
      <c r="E21" s="100">
        <f>ROUND(E28/0.07*0.02,2)</f>
        <v>352160</v>
      </c>
      <c r="F21" s="100">
        <f>ROUND(F28/0.07*0.02,2)</f>
        <v>266080</v>
      </c>
      <c r="G21" s="100">
        <f t="shared" ref="G21:N21" si="15">ROUND(G28/0.07*0.02,2)</f>
        <v>414608</v>
      </c>
      <c r="H21" s="100">
        <f t="shared" si="15"/>
        <v>365248</v>
      </c>
      <c r="I21" s="100">
        <f t="shared" si="15"/>
        <v>313188</v>
      </c>
      <c r="J21" s="100">
        <f t="shared" si="15"/>
        <v>224332</v>
      </c>
      <c r="K21" s="100">
        <f t="shared" si="15"/>
        <v>209408</v>
      </c>
      <c r="L21" s="100">
        <f t="shared" si="15"/>
        <v>135960</v>
      </c>
      <c r="M21" s="100">
        <f t="shared" si="15"/>
        <v>173092</v>
      </c>
      <c r="N21" s="100">
        <f t="shared" si="15"/>
        <v>5520</v>
      </c>
      <c r="O21" s="19">
        <f t="shared" si="7"/>
        <v>2459596</v>
      </c>
      <c r="P21" s="98"/>
    </row>
    <row r="22" spans="1:16">
      <c r="A22" s="90" t="s">
        <v>69</v>
      </c>
      <c r="B22" s="91" t="s">
        <v>73</v>
      </c>
      <c r="C22" s="91" t="s">
        <v>71</v>
      </c>
      <c r="D22" s="98" t="s">
        <v>51</v>
      </c>
      <c r="E22" s="100">
        <f>ROUND(E28/0.07*0.02,2)</f>
        <v>352160</v>
      </c>
      <c r="F22" s="100">
        <f>ROUND(F28/0.07*0.02,2)</f>
        <v>266080</v>
      </c>
      <c r="G22" s="100">
        <f t="shared" ref="G22:N22" si="16">ROUND(G28/0.07*0.02,2)</f>
        <v>414608</v>
      </c>
      <c r="H22" s="100">
        <f t="shared" si="16"/>
        <v>365248</v>
      </c>
      <c r="I22" s="100">
        <f t="shared" si="16"/>
        <v>313188</v>
      </c>
      <c r="J22" s="100">
        <f t="shared" si="16"/>
        <v>224332</v>
      </c>
      <c r="K22" s="100">
        <f t="shared" si="16"/>
        <v>209408</v>
      </c>
      <c r="L22" s="100">
        <f t="shared" si="16"/>
        <v>135960</v>
      </c>
      <c r="M22" s="100">
        <f t="shared" si="16"/>
        <v>173092</v>
      </c>
      <c r="N22" s="100">
        <f t="shared" si="16"/>
        <v>5520</v>
      </c>
      <c r="O22" s="19">
        <f t="shared" si="7"/>
        <v>2459596</v>
      </c>
      <c r="P22" s="98"/>
    </row>
    <row r="23" spans="1:16">
      <c r="A23" s="90" t="s">
        <v>72</v>
      </c>
      <c r="B23" s="91" t="s">
        <v>75</v>
      </c>
      <c r="C23" s="91"/>
      <c r="D23" s="92" t="s">
        <v>28</v>
      </c>
      <c r="E23" s="19">
        <f>E24</f>
        <v>2817280</v>
      </c>
      <c r="F23" s="19">
        <f>F24</f>
        <v>2128640</v>
      </c>
      <c r="G23" s="19">
        <f t="shared" ref="G23:N23" si="17">G24</f>
        <v>3316864</v>
      </c>
      <c r="H23" s="19">
        <f t="shared" si="17"/>
        <v>2921984</v>
      </c>
      <c r="I23" s="19">
        <f t="shared" si="17"/>
        <v>2505504</v>
      </c>
      <c r="J23" s="19">
        <f t="shared" si="17"/>
        <v>1794656</v>
      </c>
      <c r="K23" s="19">
        <f t="shared" si="17"/>
        <v>1675264</v>
      </c>
      <c r="L23" s="19">
        <f t="shared" si="17"/>
        <v>1087680</v>
      </c>
      <c r="M23" s="19">
        <f t="shared" si="17"/>
        <v>1384736</v>
      </c>
      <c r="N23" s="19">
        <f t="shared" si="17"/>
        <v>44160</v>
      </c>
      <c r="O23" s="19">
        <f t="shared" si="7"/>
        <v>19676768</v>
      </c>
      <c r="P23" s="93"/>
    </row>
    <row r="24" spans="1:16" s="96" customFormat="1">
      <c r="A24" s="90" t="s">
        <v>74</v>
      </c>
      <c r="B24" s="95" t="s">
        <v>278</v>
      </c>
      <c r="C24" s="95" t="s">
        <v>78</v>
      </c>
      <c r="D24" s="93" t="s">
        <v>51</v>
      </c>
      <c r="E24" s="19">
        <f>ROUND(E28/0.07*0.16,2)</f>
        <v>2817280</v>
      </c>
      <c r="F24" s="19">
        <f>ROUND(F28/0.07*0.16,2)</f>
        <v>2128640</v>
      </c>
      <c r="G24" s="19">
        <f t="shared" ref="G24:N24" si="18">ROUND(G28/0.07*0.16,2)</f>
        <v>3316864</v>
      </c>
      <c r="H24" s="19">
        <f t="shared" si="18"/>
        <v>2921984</v>
      </c>
      <c r="I24" s="19">
        <f t="shared" si="18"/>
        <v>2505504</v>
      </c>
      <c r="J24" s="19">
        <f t="shared" si="18"/>
        <v>1794656</v>
      </c>
      <c r="K24" s="19">
        <f t="shared" si="18"/>
        <v>1675264</v>
      </c>
      <c r="L24" s="19">
        <f t="shared" si="18"/>
        <v>1087680</v>
      </c>
      <c r="M24" s="19">
        <f t="shared" si="18"/>
        <v>1384736</v>
      </c>
      <c r="N24" s="19">
        <f t="shared" si="18"/>
        <v>44160</v>
      </c>
      <c r="O24" s="19">
        <f t="shared" si="7"/>
        <v>19676768</v>
      </c>
      <c r="P24" s="93"/>
    </row>
    <row r="25" spans="1:16">
      <c r="A25" s="90" t="s">
        <v>76</v>
      </c>
      <c r="B25" s="91" t="s">
        <v>80</v>
      </c>
      <c r="C25" s="91"/>
      <c r="D25" s="92" t="s">
        <v>28</v>
      </c>
      <c r="E25" s="19">
        <f>E26</f>
        <v>1408640</v>
      </c>
      <c r="F25" s="19">
        <f>F26</f>
        <v>1064320</v>
      </c>
      <c r="G25" s="19">
        <f t="shared" ref="G25:N25" si="19">G26</f>
        <v>1658432</v>
      </c>
      <c r="H25" s="19">
        <f t="shared" si="19"/>
        <v>1460992</v>
      </c>
      <c r="I25" s="19">
        <f t="shared" si="19"/>
        <v>1252752</v>
      </c>
      <c r="J25" s="19">
        <f t="shared" si="19"/>
        <v>897328</v>
      </c>
      <c r="K25" s="19">
        <f t="shared" si="19"/>
        <v>837632</v>
      </c>
      <c r="L25" s="19">
        <f t="shared" si="19"/>
        <v>543840</v>
      </c>
      <c r="M25" s="19">
        <f t="shared" si="19"/>
        <v>692368</v>
      </c>
      <c r="N25" s="19">
        <f t="shared" si="19"/>
        <v>22080</v>
      </c>
      <c r="O25" s="19">
        <f t="shared" si="7"/>
        <v>9838384</v>
      </c>
      <c r="P25" s="93"/>
    </row>
    <row r="26" spans="1:16" s="96" customFormat="1">
      <c r="A26" s="90" t="s">
        <v>79</v>
      </c>
      <c r="B26" s="95" t="s">
        <v>82</v>
      </c>
      <c r="C26" s="95" t="s">
        <v>83</v>
      </c>
      <c r="D26" s="93" t="s">
        <v>51</v>
      </c>
      <c r="E26" s="19">
        <f>ROUND(E28/0.07*0.08,2)</f>
        <v>1408640</v>
      </c>
      <c r="F26" s="19">
        <f>ROUND(F28/0.07*0.08,2)</f>
        <v>1064320</v>
      </c>
      <c r="G26" s="19">
        <f t="shared" ref="G26:N26" si="20">ROUND(G28/0.07*0.08,2)</f>
        <v>1658432</v>
      </c>
      <c r="H26" s="19">
        <f t="shared" si="20"/>
        <v>1460992</v>
      </c>
      <c r="I26" s="19">
        <f t="shared" si="20"/>
        <v>1252752</v>
      </c>
      <c r="J26" s="19">
        <f t="shared" si="20"/>
        <v>897328</v>
      </c>
      <c r="K26" s="19">
        <f t="shared" si="20"/>
        <v>837632</v>
      </c>
      <c r="L26" s="19">
        <f t="shared" si="20"/>
        <v>543840</v>
      </c>
      <c r="M26" s="19">
        <f t="shared" si="20"/>
        <v>692368</v>
      </c>
      <c r="N26" s="19">
        <f t="shared" si="20"/>
        <v>22080</v>
      </c>
      <c r="O26" s="19">
        <f t="shared" si="7"/>
        <v>9838384</v>
      </c>
      <c r="P26" s="93"/>
    </row>
    <row r="27" spans="1:16" ht="22.5">
      <c r="A27" s="90" t="s">
        <v>81</v>
      </c>
      <c r="B27" s="91" t="s">
        <v>85</v>
      </c>
      <c r="C27" s="97" t="s">
        <v>35</v>
      </c>
      <c r="D27" s="93" t="s">
        <v>279</v>
      </c>
      <c r="E27" s="19">
        <f>6000*E93</f>
        <v>474000</v>
      </c>
      <c r="F27" s="19">
        <f>6000*F93</f>
        <v>354000</v>
      </c>
      <c r="G27" s="19">
        <f t="shared" ref="G27:O27" si="21">6000*G93</f>
        <v>672000</v>
      </c>
      <c r="H27" s="19">
        <f t="shared" si="21"/>
        <v>516000</v>
      </c>
      <c r="I27" s="19">
        <f t="shared" si="21"/>
        <v>420000</v>
      </c>
      <c r="J27" s="19">
        <f t="shared" si="21"/>
        <v>324000</v>
      </c>
      <c r="K27" s="19">
        <f t="shared" si="21"/>
        <v>300000</v>
      </c>
      <c r="L27" s="19">
        <f t="shared" si="21"/>
        <v>222000</v>
      </c>
      <c r="M27" s="19">
        <f t="shared" si="21"/>
        <v>270000</v>
      </c>
      <c r="N27" s="19">
        <f t="shared" si="21"/>
        <v>6000</v>
      </c>
      <c r="O27" s="19">
        <f t="shared" si="21"/>
        <v>3558000</v>
      </c>
      <c r="P27" s="93"/>
    </row>
    <row r="28" spans="1:16">
      <c r="A28" s="90" t="s">
        <v>84</v>
      </c>
      <c r="B28" s="91" t="s">
        <v>88</v>
      </c>
      <c r="C28" s="91" t="s">
        <v>88</v>
      </c>
      <c r="D28" s="92" t="s">
        <v>36</v>
      </c>
      <c r="E28" s="99">
        <v>1232560</v>
      </c>
      <c r="F28" s="99">
        <v>931280</v>
      </c>
      <c r="G28" s="99">
        <v>1451128</v>
      </c>
      <c r="H28" s="99">
        <v>1278368</v>
      </c>
      <c r="I28" s="99">
        <v>1096158</v>
      </c>
      <c r="J28" s="99">
        <v>785162</v>
      </c>
      <c r="K28" s="99">
        <v>732928</v>
      </c>
      <c r="L28" s="99">
        <v>475860</v>
      </c>
      <c r="M28" s="99">
        <v>605822</v>
      </c>
      <c r="N28" s="99">
        <v>19320</v>
      </c>
      <c r="O28" s="19">
        <f t="shared" ref="O28:O89" si="22">SUM(E28:N28)</f>
        <v>8608586</v>
      </c>
      <c r="P28" s="98"/>
    </row>
    <row r="29" spans="1:16">
      <c r="A29" s="90" t="s">
        <v>87</v>
      </c>
      <c r="B29" s="91" t="s">
        <v>280</v>
      </c>
      <c r="C29" s="91" t="s">
        <v>281</v>
      </c>
      <c r="D29" s="93" t="s">
        <v>117</v>
      </c>
      <c r="E29" s="99"/>
      <c r="F29" s="99"/>
      <c r="G29" s="99"/>
      <c r="H29" s="99"/>
      <c r="I29" s="99"/>
      <c r="J29" s="99"/>
      <c r="K29" s="99"/>
      <c r="L29" s="99"/>
      <c r="M29" s="99"/>
      <c r="N29" s="99"/>
      <c r="O29" s="19">
        <f t="shared" si="22"/>
        <v>0</v>
      </c>
      <c r="P29" s="98"/>
    </row>
    <row r="30" spans="1:16">
      <c r="A30" s="90" t="s">
        <v>90</v>
      </c>
      <c r="B30" s="91" t="s">
        <v>95</v>
      </c>
      <c r="C30" s="91"/>
      <c r="D30" s="92" t="s">
        <v>28</v>
      </c>
      <c r="E30" s="19">
        <f>E31+E39+E42+E44</f>
        <v>9590</v>
      </c>
      <c r="F30" s="19">
        <f t="shared" ref="F30:N30" si="23">F31+F39+F42+F44</f>
        <v>6600</v>
      </c>
      <c r="G30" s="19">
        <f t="shared" si="23"/>
        <v>13210</v>
      </c>
      <c r="H30" s="19">
        <f t="shared" si="23"/>
        <v>9460</v>
      </c>
      <c r="I30" s="19">
        <f t="shared" si="23"/>
        <v>6540</v>
      </c>
      <c r="J30" s="19">
        <f t="shared" si="23"/>
        <v>6200</v>
      </c>
      <c r="K30" s="19">
        <f t="shared" si="23"/>
        <v>5100</v>
      </c>
      <c r="L30" s="19">
        <f t="shared" si="23"/>
        <v>6600</v>
      </c>
      <c r="M30" s="19">
        <f t="shared" si="23"/>
        <v>6150</v>
      </c>
      <c r="N30" s="19">
        <f t="shared" si="23"/>
        <v>960</v>
      </c>
      <c r="O30" s="19">
        <f t="shared" si="22"/>
        <v>70410</v>
      </c>
      <c r="P30" s="93"/>
    </row>
    <row r="31" spans="1:16">
      <c r="A31" s="90" t="s">
        <v>94</v>
      </c>
      <c r="B31" s="91" t="s">
        <v>97</v>
      </c>
      <c r="C31" s="91"/>
      <c r="D31" s="92" t="s">
        <v>28</v>
      </c>
      <c r="E31" s="19">
        <f>E32+E33+E34+E35+E36+E37+E38</f>
        <v>0</v>
      </c>
      <c r="F31" s="19">
        <f>F32+F33+F34+F35+F36+F37+F38</f>
        <v>0</v>
      </c>
      <c r="G31" s="19">
        <f t="shared" ref="G31:N31" si="24">G32+G33+G34+G35+G36+G37+G38</f>
        <v>0</v>
      </c>
      <c r="H31" s="19">
        <f t="shared" si="24"/>
        <v>0</v>
      </c>
      <c r="I31" s="19">
        <f t="shared" si="24"/>
        <v>0</v>
      </c>
      <c r="J31" s="19">
        <f t="shared" si="24"/>
        <v>0</v>
      </c>
      <c r="K31" s="19">
        <f t="shared" si="24"/>
        <v>0</v>
      </c>
      <c r="L31" s="19">
        <f t="shared" si="24"/>
        <v>0</v>
      </c>
      <c r="M31" s="19">
        <f t="shared" si="24"/>
        <v>0</v>
      </c>
      <c r="N31" s="19">
        <f t="shared" si="24"/>
        <v>0</v>
      </c>
      <c r="O31" s="19">
        <f t="shared" si="22"/>
        <v>0</v>
      </c>
      <c r="P31" s="93"/>
    </row>
    <row r="32" spans="1:16">
      <c r="A32" s="90" t="s">
        <v>96</v>
      </c>
      <c r="B32" s="91" t="s">
        <v>99</v>
      </c>
      <c r="C32" s="91" t="s">
        <v>100</v>
      </c>
      <c r="D32" s="98" t="s">
        <v>101</v>
      </c>
      <c r="E32" s="99"/>
      <c r="F32" s="99"/>
      <c r="G32" s="99"/>
      <c r="H32" s="99"/>
      <c r="I32" s="99"/>
      <c r="J32" s="99"/>
      <c r="K32" s="99"/>
      <c r="L32" s="99"/>
      <c r="M32" s="99"/>
      <c r="N32" s="99"/>
      <c r="O32" s="19">
        <f t="shared" si="22"/>
        <v>0</v>
      </c>
      <c r="P32" s="98"/>
    </row>
    <row r="33" spans="1:16">
      <c r="A33" s="90" t="s">
        <v>98</v>
      </c>
      <c r="B33" s="91" t="s">
        <v>103</v>
      </c>
      <c r="C33" s="91" t="s">
        <v>100</v>
      </c>
      <c r="D33" s="98" t="s">
        <v>101</v>
      </c>
      <c r="E33" s="99"/>
      <c r="F33" s="99"/>
      <c r="G33" s="99"/>
      <c r="H33" s="99"/>
      <c r="I33" s="99"/>
      <c r="J33" s="99"/>
      <c r="K33" s="99"/>
      <c r="L33" s="99"/>
      <c r="M33" s="99"/>
      <c r="N33" s="99"/>
      <c r="O33" s="19">
        <f t="shared" si="22"/>
        <v>0</v>
      </c>
      <c r="P33" s="98"/>
    </row>
    <row r="34" spans="1:16">
      <c r="A34" s="90" t="s">
        <v>102</v>
      </c>
      <c r="B34" s="91" t="s">
        <v>105</v>
      </c>
      <c r="C34" s="91" t="s">
        <v>100</v>
      </c>
      <c r="D34" s="98" t="s">
        <v>106</v>
      </c>
      <c r="E34" s="99"/>
      <c r="F34" s="99"/>
      <c r="G34" s="99"/>
      <c r="H34" s="99"/>
      <c r="I34" s="99"/>
      <c r="J34" s="99"/>
      <c r="K34" s="99"/>
      <c r="L34" s="99"/>
      <c r="M34" s="99"/>
      <c r="N34" s="99"/>
      <c r="O34" s="19">
        <f t="shared" si="22"/>
        <v>0</v>
      </c>
      <c r="P34" s="98"/>
    </row>
    <row r="35" spans="1:16">
      <c r="A35" s="90" t="s">
        <v>104</v>
      </c>
      <c r="B35" s="91" t="s">
        <v>108</v>
      </c>
      <c r="C35" s="91" t="s">
        <v>100</v>
      </c>
      <c r="D35" s="98" t="s">
        <v>101</v>
      </c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19">
        <f t="shared" si="22"/>
        <v>0</v>
      </c>
      <c r="P35" s="98"/>
    </row>
    <row r="36" spans="1:16">
      <c r="A36" s="90" t="s">
        <v>107</v>
      </c>
      <c r="B36" s="91" t="s">
        <v>110</v>
      </c>
      <c r="C36" s="91" t="s">
        <v>100</v>
      </c>
      <c r="D36" s="98" t="s">
        <v>101</v>
      </c>
      <c r="E36" s="99"/>
      <c r="F36" s="99"/>
      <c r="G36" s="99"/>
      <c r="H36" s="99"/>
      <c r="I36" s="99"/>
      <c r="J36" s="99"/>
      <c r="K36" s="99"/>
      <c r="L36" s="99"/>
      <c r="M36" s="99"/>
      <c r="N36" s="99"/>
      <c r="O36" s="19">
        <f t="shared" si="22"/>
        <v>0</v>
      </c>
      <c r="P36" s="98"/>
    </row>
    <row r="37" spans="1:16">
      <c r="A37" s="90" t="s">
        <v>109</v>
      </c>
      <c r="B37" s="91" t="s">
        <v>112</v>
      </c>
      <c r="C37" s="91" t="s">
        <v>100</v>
      </c>
      <c r="D37" s="98" t="s">
        <v>101</v>
      </c>
      <c r="E37" s="99"/>
      <c r="F37" s="99"/>
      <c r="G37" s="99"/>
      <c r="H37" s="99"/>
      <c r="I37" s="99"/>
      <c r="J37" s="99"/>
      <c r="K37" s="99"/>
      <c r="L37" s="99"/>
      <c r="M37" s="99"/>
      <c r="N37" s="99"/>
      <c r="O37" s="19">
        <f t="shared" si="22"/>
        <v>0</v>
      </c>
      <c r="P37" s="98"/>
    </row>
    <row r="38" spans="1:16">
      <c r="A38" s="90" t="s">
        <v>111</v>
      </c>
      <c r="B38" s="91" t="s">
        <v>114</v>
      </c>
      <c r="C38" s="91" t="s">
        <v>100</v>
      </c>
      <c r="D38" s="98" t="s">
        <v>101</v>
      </c>
      <c r="E38" s="99"/>
      <c r="F38" s="99"/>
      <c r="G38" s="99"/>
      <c r="H38" s="99"/>
      <c r="I38" s="99"/>
      <c r="J38" s="99"/>
      <c r="K38" s="99"/>
      <c r="L38" s="99"/>
      <c r="M38" s="99"/>
      <c r="N38" s="99"/>
      <c r="O38" s="19">
        <f t="shared" si="22"/>
        <v>0</v>
      </c>
      <c r="P38" s="98"/>
    </row>
    <row r="39" spans="1:16">
      <c r="A39" s="90" t="s">
        <v>113</v>
      </c>
      <c r="B39" s="91" t="s">
        <v>119</v>
      </c>
      <c r="C39" s="91"/>
      <c r="D39" s="92" t="s">
        <v>28</v>
      </c>
      <c r="E39" s="19">
        <f>E40+E41</f>
        <v>0</v>
      </c>
      <c r="F39" s="19">
        <f>F40+F41</f>
        <v>0</v>
      </c>
      <c r="G39" s="19">
        <f t="shared" ref="G39:N39" si="25">G40+G41</f>
        <v>0</v>
      </c>
      <c r="H39" s="19">
        <f t="shared" si="25"/>
        <v>0</v>
      </c>
      <c r="I39" s="19">
        <f t="shared" si="25"/>
        <v>0</v>
      </c>
      <c r="J39" s="19">
        <f t="shared" si="25"/>
        <v>0</v>
      </c>
      <c r="K39" s="19">
        <f t="shared" si="25"/>
        <v>0</v>
      </c>
      <c r="L39" s="19">
        <f t="shared" si="25"/>
        <v>0</v>
      </c>
      <c r="M39" s="19">
        <f t="shared" si="25"/>
        <v>0</v>
      </c>
      <c r="N39" s="19">
        <f t="shared" si="25"/>
        <v>0</v>
      </c>
      <c r="O39" s="19">
        <f t="shared" si="22"/>
        <v>0</v>
      </c>
      <c r="P39" s="93"/>
    </row>
    <row r="40" spans="1:16" s="96" customFormat="1">
      <c r="A40" s="90" t="s">
        <v>115</v>
      </c>
      <c r="B40" s="95" t="s">
        <v>121</v>
      </c>
      <c r="C40" s="95" t="s">
        <v>35</v>
      </c>
      <c r="D40" s="93" t="s">
        <v>106</v>
      </c>
      <c r="E40" s="101"/>
      <c r="F40" s="101"/>
      <c r="G40" s="101"/>
      <c r="H40" s="101"/>
      <c r="I40" s="101"/>
      <c r="J40" s="101"/>
      <c r="K40" s="101"/>
      <c r="L40" s="101"/>
      <c r="M40" s="101"/>
      <c r="N40" s="101"/>
      <c r="O40" s="19">
        <f t="shared" si="22"/>
        <v>0</v>
      </c>
      <c r="P40" s="93"/>
    </row>
    <row r="41" spans="1:16" s="96" customFormat="1">
      <c r="A41" s="90" t="s">
        <v>116</v>
      </c>
      <c r="B41" s="95" t="s">
        <v>123</v>
      </c>
      <c r="C41" s="95" t="s">
        <v>35</v>
      </c>
      <c r="D41" s="93" t="s">
        <v>106</v>
      </c>
      <c r="E41" s="101"/>
      <c r="F41" s="101"/>
      <c r="G41" s="101"/>
      <c r="H41" s="101"/>
      <c r="I41" s="101"/>
      <c r="J41" s="101"/>
      <c r="K41" s="101"/>
      <c r="L41" s="101"/>
      <c r="M41" s="101"/>
      <c r="N41" s="101"/>
      <c r="O41" s="19">
        <f t="shared" si="22"/>
        <v>0</v>
      </c>
      <c r="P41" s="93"/>
    </row>
    <row r="42" spans="1:16">
      <c r="A42" s="90" t="s">
        <v>118</v>
      </c>
      <c r="B42" s="91" t="s">
        <v>125</v>
      </c>
      <c r="C42" s="91"/>
      <c r="D42" s="92" t="s">
        <v>28</v>
      </c>
      <c r="E42" s="19">
        <f>E43</f>
        <v>4590</v>
      </c>
      <c r="F42" s="19">
        <f>F43</f>
        <v>5100</v>
      </c>
      <c r="G42" s="19">
        <f t="shared" ref="G42:N42" si="26">G43</f>
        <v>6210</v>
      </c>
      <c r="H42" s="19">
        <f t="shared" si="26"/>
        <v>3960</v>
      </c>
      <c r="I42" s="19">
        <f t="shared" si="26"/>
        <v>5040</v>
      </c>
      <c r="J42" s="19">
        <f t="shared" si="26"/>
        <v>1200</v>
      </c>
      <c r="K42" s="19">
        <f t="shared" si="26"/>
        <v>1600</v>
      </c>
      <c r="L42" s="19">
        <f t="shared" si="26"/>
        <v>3600</v>
      </c>
      <c r="M42" s="19">
        <f t="shared" si="26"/>
        <v>2900</v>
      </c>
      <c r="N42" s="19">
        <f t="shared" si="26"/>
        <v>360</v>
      </c>
      <c r="O42" s="19">
        <f t="shared" si="22"/>
        <v>34560</v>
      </c>
      <c r="P42" s="93"/>
    </row>
    <row r="43" spans="1:16">
      <c r="A43" s="90" t="s">
        <v>120</v>
      </c>
      <c r="B43" s="91" t="s">
        <v>127</v>
      </c>
      <c r="C43" s="91" t="s">
        <v>35</v>
      </c>
      <c r="D43" s="92" t="s">
        <v>36</v>
      </c>
      <c r="E43" s="22">
        <v>4590</v>
      </c>
      <c r="F43" s="22">
        <v>5100</v>
      </c>
      <c r="G43" s="22">
        <v>6210</v>
      </c>
      <c r="H43" s="22">
        <v>3960</v>
      </c>
      <c r="I43" s="22">
        <v>5040</v>
      </c>
      <c r="J43" s="22">
        <v>1200</v>
      </c>
      <c r="K43" s="22">
        <v>1600</v>
      </c>
      <c r="L43" s="22">
        <v>3600</v>
      </c>
      <c r="M43" s="22">
        <v>2900</v>
      </c>
      <c r="N43" s="22">
        <v>360</v>
      </c>
      <c r="O43" s="19">
        <f t="shared" si="22"/>
        <v>34560</v>
      </c>
      <c r="P43" s="93"/>
    </row>
    <row r="44" spans="1:16">
      <c r="A44" s="90" t="s">
        <v>122</v>
      </c>
      <c r="B44" s="91" t="s">
        <v>129</v>
      </c>
      <c r="C44" s="91"/>
      <c r="D44" s="92" t="s">
        <v>28</v>
      </c>
      <c r="E44" s="19">
        <f>SUM(E45:E48)</f>
        <v>5000</v>
      </c>
      <c r="F44" s="19">
        <f>SUM(F45:F48)</f>
        <v>1500</v>
      </c>
      <c r="G44" s="19">
        <f t="shared" ref="G44:N44" si="27">SUM(G45:G48)</f>
        <v>7000</v>
      </c>
      <c r="H44" s="19">
        <f t="shared" si="27"/>
        <v>5500</v>
      </c>
      <c r="I44" s="19">
        <f t="shared" si="27"/>
        <v>1500</v>
      </c>
      <c r="J44" s="19">
        <f t="shared" si="27"/>
        <v>5000</v>
      </c>
      <c r="K44" s="19">
        <f t="shared" si="27"/>
        <v>3500</v>
      </c>
      <c r="L44" s="19">
        <f t="shared" si="27"/>
        <v>3000</v>
      </c>
      <c r="M44" s="19">
        <f t="shared" si="27"/>
        <v>3250</v>
      </c>
      <c r="N44" s="19">
        <f t="shared" si="27"/>
        <v>600</v>
      </c>
      <c r="O44" s="19">
        <f t="shared" si="22"/>
        <v>35850</v>
      </c>
      <c r="P44" s="93"/>
    </row>
    <row r="45" spans="1:16">
      <c r="A45" s="90" t="s">
        <v>124</v>
      </c>
      <c r="B45" s="91" t="s">
        <v>131</v>
      </c>
      <c r="C45" s="91" t="s">
        <v>35</v>
      </c>
      <c r="D45" s="92" t="s">
        <v>132</v>
      </c>
      <c r="E45" s="22">
        <v>5000</v>
      </c>
      <c r="F45" s="22">
        <v>1500</v>
      </c>
      <c r="G45" s="22">
        <v>7000</v>
      </c>
      <c r="H45" s="22">
        <v>5500</v>
      </c>
      <c r="I45" s="22">
        <v>1500</v>
      </c>
      <c r="J45" s="22">
        <v>5000</v>
      </c>
      <c r="K45" s="22">
        <v>3500</v>
      </c>
      <c r="L45" s="22">
        <v>3000</v>
      </c>
      <c r="M45" s="22">
        <v>3250</v>
      </c>
      <c r="N45" s="22">
        <v>600</v>
      </c>
      <c r="O45" s="19">
        <f t="shared" si="22"/>
        <v>35850</v>
      </c>
      <c r="P45" s="93"/>
    </row>
    <row r="46" spans="1:16" s="96" customFormat="1">
      <c r="A46" s="90" t="s">
        <v>126</v>
      </c>
      <c r="B46" s="95" t="s">
        <v>134</v>
      </c>
      <c r="C46" s="95" t="s">
        <v>35</v>
      </c>
      <c r="D46" s="93" t="s">
        <v>135</v>
      </c>
      <c r="E46" s="101"/>
      <c r="F46" s="101"/>
      <c r="G46" s="101"/>
      <c r="H46" s="101"/>
      <c r="I46" s="101"/>
      <c r="J46" s="101"/>
      <c r="K46" s="101"/>
      <c r="L46" s="101"/>
      <c r="M46" s="101"/>
      <c r="N46" s="101"/>
      <c r="O46" s="19">
        <f t="shared" si="22"/>
        <v>0</v>
      </c>
      <c r="P46" s="93"/>
    </row>
    <row r="47" spans="1:16" s="96" customFormat="1">
      <c r="A47" s="90" t="s">
        <v>128</v>
      </c>
      <c r="B47" s="95" t="s">
        <v>137</v>
      </c>
      <c r="C47" s="95" t="s">
        <v>35</v>
      </c>
      <c r="D47" s="93" t="s">
        <v>135</v>
      </c>
      <c r="E47" s="101"/>
      <c r="F47" s="101"/>
      <c r="G47" s="101"/>
      <c r="H47" s="101"/>
      <c r="I47" s="101"/>
      <c r="J47" s="101"/>
      <c r="K47" s="101"/>
      <c r="L47" s="101"/>
      <c r="M47" s="101"/>
      <c r="N47" s="101"/>
      <c r="O47" s="19">
        <f t="shared" si="22"/>
        <v>0</v>
      </c>
      <c r="P47" s="93"/>
    </row>
    <row r="48" spans="1:16" ht="33.75">
      <c r="A48" s="90" t="s">
        <v>130</v>
      </c>
      <c r="B48" s="91" t="s">
        <v>139</v>
      </c>
      <c r="C48" s="91" t="s">
        <v>35</v>
      </c>
      <c r="D48" s="98" t="s">
        <v>140</v>
      </c>
      <c r="E48" s="99"/>
      <c r="F48" s="99"/>
      <c r="G48" s="99"/>
      <c r="H48" s="99"/>
      <c r="I48" s="99"/>
      <c r="J48" s="99"/>
      <c r="K48" s="99"/>
      <c r="L48" s="99"/>
      <c r="M48" s="99"/>
      <c r="N48" s="99"/>
      <c r="O48" s="19">
        <f t="shared" si="22"/>
        <v>0</v>
      </c>
      <c r="P48" s="98"/>
    </row>
    <row r="49" spans="1:16">
      <c r="A49" s="90" t="s">
        <v>133</v>
      </c>
      <c r="B49" s="91" t="s">
        <v>142</v>
      </c>
      <c r="C49" s="91"/>
      <c r="D49" s="92" t="s">
        <v>28</v>
      </c>
      <c r="E49" s="19">
        <f>E50+E68+E70+E72+E74+E76+E78+E80+E82+E90</f>
        <v>3515432.73</v>
      </c>
      <c r="F49" s="19">
        <f>F50+F68+F70+F72+F74+F76+F78+F80+F82+F90</f>
        <v>2991306.35</v>
      </c>
      <c r="G49" s="19">
        <f t="shared" ref="G49:N49" si="28">G50+G68+G70+G72+G74+G76+G78+G80+G82+G90</f>
        <v>5558719.7000000002</v>
      </c>
      <c r="H49" s="19">
        <f t="shared" si="28"/>
        <v>5286180.4000000004</v>
      </c>
      <c r="I49" s="19">
        <f t="shared" si="28"/>
        <v>4360242.1500000004</v>
      </c>
      <c r="J49" s="19">
        <f t="shared" si="28"/>
        <v>2544765.25</v>
      </c>
      <c r="K49" s="19">
        <f t="shared" si="28"/>
        <v>2141676.75</v>
      </c>
      <c r="L49" s="19">
        <f t="shared" si="28"/>
        <v>1733760.7</v>
      </c>
      <c r="M49" s="19">
        <f t="shared" si="28"/>
        <v>1967540.25</v>
      </c>
      <c r="N49" s="19">
        <f t="shared" si="28"/>
        <v>131485</v>
      </c>
      <c r="O49" s="19">
        <f t="shared" si="22"/>
        <v>30231109.279999997</v>
      </c>
      <c r="P49" s="93"/>
    </row>
    <row r="50" spans="1:16">
      <c r="A50" s="90" t="s">
        <v>136</v>
      </c>
      <c r="B50" s="91" t="s">
        <v>144</v>
      </c>
      <c r="C50" s="91"/>
      <c r="D50" s="92" t="s">
        <v>145</v>
      </c>
      <c r="E50" s="19">
        <v>2211000</v>
      </c>
      <c r="F50" s="19">
        <v>2010000</v>
      </c>
      <c r="G50" s="19">
        <v>4067840</v>
      </c>
      <c r="H50" s="19">
        <v>3669030</v>
      </c>
      <c r="I50" s="19">
        <v>3322350</v>
      </c>
      <c r="J50" s="19">
        <v>1716000</v>
      </c>
      <c r="K50" s="19">
        <v>1530000</v>
      </c>
      <c r="L50" s="19">
        <v>1287000</v>
      </c>
      <c r="M50" s="19">
        <v>1381380</v>
      </c>
      <c r="N50" s="19">
        <v>22400</v>
      </c>
      <c r="O50" s="19">
        <f t="shared" si="22"/>
        <v>21217000</v>
      </c>
      <c r="P50" s="93"/>
    </row>
    <row r="51" spans="1:16">
      <c r="A51" s="90" t="s">
        <v>138</v>
      </c>
      <c r="B51" s="91" t="s">
        <v>147</v>
      </c>
      <c r="C51" s="91" t="s">
        <v>35</v>
      </c>
      <c r="D51" s="10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19">
        <f t="shared" si="22"/>
        <v>0</v>
      </c>
      <c r="P51" s="93"/>
    </row>
    <row r="52" spans="1:16">
      <c r="A52" s="90" t="s">
        <v>141</v>
      </c>
      <c r="B52" s="91" t="s">
        <v>149</v>
      </c>
      <c r="C52" s="91" t="s">
        <v>35</v>
      </c>
      <c r="D52" s="10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19">
        <f t="shared" si="22"/>
        <v>0</v>
      </c>
      <c r="P52" s="93"/>
    </row>
    <row r="53" spans="1:16">
      <c r="A53" s="90" t="s">
        <v>143</v>
      </c>
      <c r="B53" s="91" t="s">
        <v>151</v>
      </c>
      <c r="C53" s="91" t="s">
        <v>35</v>
      </c>
      <c r="D53" s="102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19">
        <f t="shared" si="22"/>
        <v>0</v>
      </c>
      <c r="P53" s="93"/>
    </row>
    <row r="54" spans="1:16">
      <c r="A54" s="90" t="s">
        <v>146</v>
      </c>
      <c r="B54" s="91" t="s">
        <v>153</v>
      </c>
      <c r="C54" s="91" t="s">
        <v>35</v>
      </c>
      <c r="D54" s="102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19">
        <f t="shared" si="22"/>
        <v>0</v>
      </c>
      <c r="P54" s="93"/>
    </row>
    <row r="55" spans="1:16">
      <c r="A55" s="90" t="s">
        <v>148</v>
      </c>
      <c r="B55" s="91" t="s">
        <v>155</v>
      </c>
      <c r="C55" s="91" t="s">
        <v>35</v>
      </c>
      <c r="D55" s="102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19">
        <f t="shared" si="22"/>
        <v>0</v>
      </c>
      <c r="P55" s="93"/>
    </row>
    <row r="56" spans="1:16">
      <c r="A56" s="90" t="s">
        <v>150</v>
      </c>
      <c r="B56" s="91" t="s">
        <v>157</v>
      </c>
      <c r="C56" s="91" t="s">
        <v>35</v>
      </c>
      <c r="D56" s="102"/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19">
        <f t="shared" si="22"/>
        <v>0</v>
      </c>
      <c r="P56" s="93"/>
    </row>
    <row r="57" spans="1:16">
      <c r="A57" s="90" t="s">
        <v>152</v>
      </c>
      <c r="B57" s="91" t="s">
        <v>159</v>
      </c>
      <c r="C57" s="91" t="s">
        <v>35</v>
      </c>
      <c r="D57" s="10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19">
        <f t="shared" si="22"/>
        <v>0</v>
      </c>
      <c r="P57" s="93"/>
    </row>
    <row r="58" spans="1:16">
      <c r="A58" s="90" t="s">
        <v>154</v>
      </c>
      <c r="B58" s="91" t="s">
        <v>161</v>
      </c>
      <c r="C58" s="91" t="s">
        <v>35</v>
      </c>
      <c r="D58" s="10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19">
        <f t="shared" si="22"/>
        <v>0</v>
      </c>
      <c r="P58" s="93"/>
    </row>
    <row r="59" spans="1:16">
      <c r="A59" s="90" t="s">
        <v>156</v>
      </c>
      <c r="B59" s="91" t="s">
        <v>163</v>
      </c>
      <c r="C59" s="91" t="s">
        <v>35</v>
      </c>
      <c r="D59" s="10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19">
        <f t="shared" si="22"/>
        <v>0</v>
      </c>
      <c r="P59" s="93"/>
    </row>
    <row r="60" spans="1:16">
      <c r="A60" s="90" t="s">
        <v>158</v>
      </c>
      <c r="B60" s="91" t="s">
        <v>282</v>
      </c>
      <c r="C60" s="91" t="s">
        <v>35</v>
      </c>
      <c r="D60" s="102" t="s">
        <v>283</v>
      </c>
      <c r="E60" s="22">
        <v>110550</v>
      </c>
      <c r="F60" s="22">
        <v>93967.5</v>
      </c>
      <c r="G60" s="22">
        <v>203392</v>
      </c>
      <c r="H60" s="22">
        <v>183451.5</v>
      </c>
      <c r="I60" s="22">
        <v>166117.5</v>
      </c>
      <c r="J60" s="22">
        <v>78936</v>
      </c>
      <c r="K60" s="22">
        <v>67167</v>
      </c>
      <c r="L60" s="22">
        <v>46332</v>
      </c>
      <c r="M60" s="22">
        <v>58201</v>
      </c>
      <c r="N60" s="22">
        <v>1120</v>
      </c>
      <c r="O60" s="19">
        <f t="shared" si="22"/>
        <v>1009234.5</v>
      </c>
      <c r="P60" s="93"/>
    </row>
    <row r="61" spans="1:16">
      <c r="A61" s="90" t="s">
        <v>160</v>
      </c>
      <c r="B61" s="91" t="s">
        <v>169</v>
      </c>
      <c r="C61" s="91" t="s">
        <v>35</v>
      </c>
      <c r="D61" s="10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19">
        <f t="shared" si="22"/>
        <v>0</v>
      </c>
      <c r="P61" s="93"/>
    </row>
    <row r="62" spans="1:16">
      <c r="A62" s="90" t="s">
        <v>162</v>
      </c>
      <c r="B62" s="91" t="s">
        <v>171</v>
      </c>
      <c r="C62" s="91" t="s">
        <v>35</v>
      </c>
      <c r="D62" s="10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19">
        <f t="shared" si="22"/>
        <v>0</v>
      </c>
      <c r="P62" s="93"/>
    </row>
    <row r="63" spans="1:16">
      <c r="A63" s="90" t="s">
        <v>164</v>
      </c>
      <c r="B63" s="91" t="s">
        <v>173</v>
      </c>
      <c r="C63" s="91" t="s">
        <v>35</v>
      </c>
      <c r="D63" s="102"/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19">
        <f t="shared" si="22"/>
        <v>0</v>
      </c>
      <c r="P63" s="93"/>
    </row>
    <row r="64" spans="1:16">
      <c r="A64" s="90" t="s">
        <v>168</v>
      </c>
      <c r="B64" s="91" t="s">
        <v>175</v>
      </c>
      <c r="C64" s="91" t="s">
        <v>35</v>
      </c>
      <c r="D64" s="10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19">
        <f t="shared" si="22"/>
        <v>0</v>
      </c>
      <c r="P64" s="93"/>
    </row>
    <row r="65" spans="1:16">
      <c r="A65" s="90" t="s">
        <v>170</v>
      </c>
      <c r="B65" s="91" t="s">
        <v>177</v>
      </c>
      <c r="C65" s="91" t="s">
        <v>35</v>
      </c>
      <c r="D65" s="10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19">
        <f t="shared" si="22"/>
        <v>0</v>
      </c>
      <c r="P65" s="93"/>
    </row>
    <row r="66" spans="1:16">
      <c r="A66" s="90" t="s">
        <v>172</v>
      </c>
      <c r="B66" s="91" t="s">
        <v>179</v>
      </c>
      <c r="C66" s="91" t="s">
        <v>35</v>
      </c>
      <c r="D66" s="10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19">
        <f t="shared" si="22"/>
        <v>0</v>
      </c>
      <c r="P66" s="93"/>
    </row>
    <row r="67" spans="1:16">
      <c r="A67" s="90" t="s">
        <v>174</v>
      </c>
      <c r="B67" s="91" t="s">
        <v>181</v>
      </c>
      <c r="C67" s="91" t="s">
        <v>35</v>
      </c>
      <c r="D67" s="10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19">
        <f t="shared" si="22"/>
        <v>0</v>
      </c>
      <c r="P67" s="93"/>
    </row>
    <row r="68" spans="1:16">
      <c r="A68" s="90" t="s">
        <v>176</v>
      </c>
      <c r="B68" s="91" t="s">
        <v>183</v>
      </c>
      <c r="C68" s="91"/>
      <c r="D68" s="92"/>
      <c r="E68" s="19">
        <f>E69</f>
        <v>31600</v>
      </c>
      <c r="F68" s="19">
        <f>F69</f>
        <v>23600</v>
      </c>
      <c r="G68" s="19">
        <f t="shared" ref="G68:N68" si="29">G69</f>
        <v>44800</v>
      </c>
      <c r="H68" s="19">
        <f t="shared" si="29"/>
        <v>34400</v>
      </c>
      <c r="I68" s="19">
        <f t="shared" si="29"/>
        <v>28000</v>
      </c>
      <c r="J68" s="19">
        <f t="shared" si="29"/>
        <v>21600</v>
      </c>
      <c r="K68" s="19">
        <f t="shared" si="29"/>
        <v>20000</v>
      </c>
      <c r="L68" s="19">
        <f t="shared" si="29"/>
        <v>14800</v>
      </c>
      <c r="M68" s="19">
        <f t="shared" si="29"/>
        <v>18000</v>
      </c>
      <c r="N68" s="19">
        <f t="shared" si="29"/>
        <v>400</v>
      </c>
      <c r="O68" s="19">
        <f t="shared" si="22"/>
        <v>237200</v>
      </c>
      <c r="P68" s="93"/>
    </row>
    <row r="69" spans="1:16" s="96" customFormat="1" ht="22.5">
      <c r="A69" s="90" t="s">
        <v>178</v>
      </c>
      <c r="B69" s="95" t="s">
        <v>185</v>
      </c>
      <c r="C69" s="95" t="s">
        <v>35</v>
      </c>
      <c r="D69" s="103" t="s">
        <v>186</v>
      </c>
      <c r="E69" s="19">
        <f>E93*400</f>
        <v>31600</v>
      </c>
      <c r="F69" s="19">
        <f>F93*400</f>
        <v>23600</v>
      </c>
      <c r="G69" s="19">
        <f t="shared" ref="G69:N69" si="30">G93*400</f>
        <v>44800</v>
      </c>
      <c r="H69" s="19">
        <f t="shared" si="30"/>
        <v>34400</v>
      </c>
      <c r="I69" s="19">
        <f t="shared" si="30"/>
        <v>28000</v>
      </c>
      <c r="J69" s="19">
        <f t="shared" si="30"/>
        <v>21600</v>
      </c>
      <c r="K69" s="19">
        <f t="shared" si="30"/>
        <v>20000</v>
      </c>
      <c r="L69" s="19">
        <f t="shared" si="30"/>
        <v>14800</v>
      </c>
      <c r="M69" s="19">
        <f t="shared" si="30"/>
        <v>18000</v>
      </c>
      <c r="N69" s="19">
        <f t="shared" si="30"/>
        <v>400</v>
      </c>
      <c r="O69" s="19">
        <f t="shared" si="22"/>
        <v>237200</v>
      </c>
      <c r="P69" s="93"/>
    </row>
    <row r="70" spans="1:16">
      <c r="A70" s="90" t="s">
        <v>180</v>
      </c>
      <c r="B70" s="91" t="s">
        <v>188</v>
      </c>
      <c r="C70" s="91"/>
      <c r="D70" s="92" t="s">
        <v>28</v>
      </c>
      <c r="E70" s="19">
        <f>E71</f>
        <v>173576.25</v>
      </c>
      <c r="F70" s="19">
        <f>F71</f>
        <v>181200.75</v>
      </c>
      <c r="G70" s="19">
        <f t="shared" ref="G70:N70" si="31">G71</f>
        <v>288657.3</v>
      </c>
      <c r="H70" s="19">
        <f t="shared" si="31"/>
        <v>202718.4</v>
      </c>
      <c r="I70" s="19">
        <f t="shared" si="31"/>
        <v>179640.15</v>
      </c>
      <c r="J70" s="19">
        <f t="shared" si="31"/>
        <v>183473.25</v>
      </c>
      <c r="K70" s="19">
        <f t="shared" si="31"/>
        <v>86520.75</v>
      </c>
      <c r="L70" s="19">
        <f t="shared" si="31"/>
        <v>41792.699999999997</v>
      </c>
      <c r="M70" s="19">
        <f t="shared" si="31"/>
        <v>97676.25</v>
      </c>
      <c r="N70" s="19">
        <f t="shared" si="31"/>
        <v>64605</v>
      </c>
      <c r="O70" s="19">
        <f t="shared" si="22"/>
        <v>1499860.8</v>
      </c>
      <c r="P70" s="93"/>
    </row>
    <row r="71" spans="1:16" s="96" customFormat="1">
      <c r="A71" s="90" t="s">
        <v>182</v>
      </c>
      <c r="B71" s="95" t="s">
        <v>190</v>
      </c>
      <c r="C71" s="95" t="s">
        <v>35</v>
      </c>
      <c r="D71" s="103" t="s">
        <v>191</v>
      </c>
      <c r="E71" s="19">
        <f>E105*15</f>
        <v>173576.25</v>
      </c>
      <c r="F71" s="19">
        <f>F105*15</f>
        <v>181200.75</v>
      </c>
      <c r="G71" s="19">
        <f t="shared" ref="G71:N71" si="32">G105*15</f>
        <v>288657.3</v>
      </c>
      <c r="H71" s="19">
        <f t="shared" si="32"/>
        <v>202718.4</v>
      </c>
      <c r="I71" s="19">
        <f t="shared" si="32"/>
        <v>179640.15</v>
      </c>
      <c r="J71" s="19">
        <f t="shared" si="32"/>
        <v>183473.25</v>
      </c>
      <c r="K71" s="19">
        <f t="shared" si="32"/>
        <v>86520.75</v>
      </c>
      <c r="L71" s="19">
        <f t="shared" si="32"/>
        <v>41792.699999999997</v>
      </c>
      <c r="M71" s="19">
        <f t="shared" si="32"/>
        <v>97676.25</v>
      </c>
      <c r="N71" s="19">
        <f t="shared" si="32"/>
        <v>64605</v>
      </c>
      <c r="O71" s="19">
        <f t="shared" si="22"/>
        <v>1499860.8</v>
      </c>
      <c r="P71" s="93"/>
    </row>
    <row r="72" spans="1:16">
      <c r="A72" s="90" t="s">
        <v>184</v>
      </c>
      <c r="B72" s="91" t="s">
        <v>193</v>
      </c>
      <c r="C72" s="91"/>
      <c r="D72" s="92" t="s">
        <v>28</v>
      </c>
      <c r="E72" s="19">
        <f>E73</f>
        <v>29256.48</v>
      </c>
      <c r="F72" s="19">
        <f>F73</f>
        <v>48905.599999999999</v>
      </c>
      <c r="G72" s="19">
        <f t="shared" ref="G72:N72" si="33">G73</f>
        <v>71214.399999999994</v>
      </c>
      <c r="H72" s="19">
        <f t="shared" si="33"/>
        <v>63744</v>
      </c>
      <c r="I72" s="19">
        <f t="shared" si="33"/>
        <v>26904</v>
      </c>
      <c r="J72" s="19">
        <f t="shared" si="33"/>
        <v>30240</v>
      </c>
      <c r="K72" s="19">
        <f t="shared" si="33"/>
        <v>23868</v>
      </c>
      <c r="L72" s="19">
        <f t="shared" si="33"/>
        <v>5728</v>
      </c>
      <c r="M72" s="19">
        <f t="shared" si="33"/>
        <v>28232</v>
      </c>
      <c r="N72" s="19">
        <f t="shared" si="33"/>
        <v>2240</v>
      </c>
      <c r="O72" s="19">
        <f t="shared" si="22"/>
        <v>330332.48</v>
      </c>
      <c r="P72" s="93"/>
    </row>
    <row r="73" spans="1:16" s="96" customFormat="1">
      <c r="A73" s="90" t="s">
        <v>187</v>
      </c>
      <c r="B73" s="95" t="s">
        <v>195</v>
      </c>
      <c r="C73" s="95" t="s">
        <v>35</v>
      </c>
      <c r="D73" s="103" t="s">
        <v>196</v>
      </c>
      <c r="E73" s="19">
        <f>E106*8</f>
        <v>29256.48</v>
      </c>
      <c r="F73" s="19">
        <f>F106*8</f>
        <v>48905.599999999999</v>
      </c>
      <c r="G73" s="19">
        <f t="shared" ref="G73:N73" si="34">G106*8</f>
        <v>71214.399999999994</v>
      </c>
      <c r="H73" s="19">
        <f t="shared" si="34"/>
        <v>63744</v>
      </c>
      <c r="I73" s="19">
        <f t="shared" si="34"/>
        <v>26904</v>
      </c>
      <c r="J73" s="19">
        <f t="shared" si="34"/>
        <v>30240</v>
      </c>
      <c r="K73" s="19">
        <f t="shared" si="34"/>
        <v>23868</v>
      </c>
      <c r="L73" s="19">
        <f t="shared" si="34"/>
        <v>5728</v>
      </c>
      <c r="M73" s="19">
        <f t="shared" si="34"/>
        <v>28232</v>
      </c>
      <c r="N73" s="19">
        <f t="shared" si="34"/>
        <v>2240</v>
      </c>
      <c r="O73" s="19">
        <f t="shared" si="22"/>
        <v>330332.48</v>
      </c>
      <c r="P73" s="93"/>
    </row>
    <row r="74" spans="1:16">
      <c r="A74" s="90" t="s">
        <v>189</v>
      </c>
      <c r="B74" s="91" t="s">
        <v>198</v>
      </c>
      <c r="C74" s="91"/>
      <c r="D74" s="92" t="s">
        <v>28</v>
      </c>
      <c r="E74" s="19">
        <f>E75</f>
        <v>0</v>
      </c>
      <c r="F74" s="19">
        <f>F75</f>
        <v>0</v>
      </c>
      <c r="G74" s="19">
        <f t="shared" ref="G74:N74" si="35">G75</f>
        <v>0</v>
      </c>
      <c r="H74" s="19">
        <f t="shared" si="35"/>
        <v>0</v>
      </c>
      <c r="I74" s="19">
        <f t="shared" si="35"/>
        <v>0</v>
      </c>
      <c r="J74" s="19">
        <f t="shared" si="35"/>
        <v>0</v>
      </c>
      <c r="K74" s="19">
        <f t="shared" si="35"/>
        <v>0</v>
      </c>
      <c r="L74" s="19">
        <f t="shared" si="35"/>
        <v>0</v>
      </c>
      <c r="M74" s="19">
        <f t="shared" si="35"/>
        <v>0</v>
      </c>
      <c r="N74" s="19">
        <f t="shared" si="35"/>
        <v>0</v>
      </c>
      <c r="O74" s="19">
        <f t="shared" si="22"/>
        <v>0</v>
      </c>
      <c r="P74" s="93"/>
    </row>
    <row r="75" spans="1:16" s="96" customFormat="1">
      <c r="A75" s="90" t="s">
        <v>192</v>
      </c>
      <c r="B75" s="95" t="s">
        <v>200</v>
      </c>
      <c r="C75" s="95" t="s">
        <v>35</v>
      </c>
      <c r="D75" s="103" t="s">
        <v>135</v>
      </c>
      <c r="E75" s="101"/>
      <c r="F75" s="101"/>
      <c r="G75" s="101"/>
      <c r="H75" s="101"/>
      <c r="I75" s="101"/>
      <c r="J75" s="101"/>
      <c r="K75" s="101"/>
      <c r="L75" s="101"/>
      <c r="M75" s="101"/>
      <c r="N75" s="101"/>
      <c r="O75" s="19">
        <f t="shared" si="22"/>
        <v>0</v>
      </c>
      <c r="P75" s="93"/>
    </row>
    <row r="76" spans="1:16">
      <c r="A76" s="90" t="s">
        <v>194</v>
      </c>
      <c r="B76" s="91" t="s">
        <v>202</v>
      </c>
      <c r="C76" s="91"/>
      <c r="D76" s="92" t="s">
        <v>28</v>
      </c>
      <c r="E76" s="19">
        <f>E77</f>
        <v>341280</v>
      </c>
      <c r="F76" s="19">
        <f>F77</f>
        <v>254880</v>
      </c>
      <c r="G76" s="19">
        <f t="shared" ref="G76:N76" si="36">G77</f>
        <v>483840</v>
      </c>
      <c r="H76" s="19">
        <f t="shared" si="36"/>
        <v>371520</v>
      </c>
      <c r="I76" s="19">
        <f t="shared" si="36"/>
        <v>302400</v>
      </c>
      <c r="J76" s="19">
        <f t="shared" si="36"/>
        <v>233280</v>
      </c>
      <c r="K76" s="19">
        <f t="shared" si="36"/>
        <v>216000</v>
      </c>
      <c r="L76" s="19">
        <f t="shared" si="36"/>
        <v>159840</v>
      </c>
      <c r="M76" s="19">
        <f t="shared" si="36"/>
        <v>194400</v>
      </c>
      <c r="N76" s="19">
        <f t="shared" si="36"/>
        <v>4320</v>
      </c>
      <c r="O76" s="19">
        <f t="shared" si="22"/>
        <v>2561760</v>
      </c>
      <c r="P76" s="93"/>
    </row>
    <row r="77" spans="1:16" s="96" customFormat="1" ht="22.5">
      <c r="A77" s="90" t="s">
        <v>197</v>
      </c>
      <c r="B77" s="95" t="s">
        <v>204</v>
      </c>
      <c r="C77" s="95" t="s">
        <v>35</v>
      </c>
      <c r="D77" s="103" t="s">
        <v>205</v>
      </c>
      <c r="E77" s="19">
        <f>E93*4320</f>
        <v>341280</v>
      </c>
      <c r="F77" s="19">
        <f>F93*4320</f>
        <v>254880</v>
      </c>
      <c r="G77" s="19">
        <f t="shared" ref="G77:N77" si="37">G93*4320</f>
        <v>483840</v>
      </c>
      <c r="H77" s="19">
        <f t="shared" si="37"/>
        <v>371520</v>
      </c>
      <c r="I77" s="19">
        <f t="shared" si="37"/>
        <v>302400</v>
      </c>
      <c r="J77" s="19">
        <f t="shared" si="37"/>
        <v>233280</v>
      </c>
      <c r="K77" s="19">
        <f t="shared" si="37"/>
        <v>216000</v>
      </c>
      <c r="L77" s="19">
        <f t="shared" si="37"/>
        <v>159840</v>
      </c>
      <c r="M77" s="19">
        <f t="shared" si="37"/>
        <v>194400</v>
      </c>
      <c r="N77" s="19">
        <f t="shared" si="37"/>
        <v>4320</v>
      </c>
      <c r="O77" s="19">
        <f t="shared" si="22"/>
        <v>2561760</v>
      </c>
      <c r="P77" s="93"/>
    </row>
    <row r="78" spans="1:16">
      <c r="A78" s="90" t="s">
        <v>199</v>
      </c>
      <c r="B78" s="91" t="s">
        <v>207</v>
      </c>
      <c r="C78" s="91"/>
      <c r="D78" s="92" t="s">
        <v>28</v>
      </c>
      <c r="E78" s="19">
        <f>E79</f>
        <v>352160</v>
      </c>
      <c r="F78" s="19">
        <f>F79</f>
        <v>266080</v>
      </c>
      <c r="G78" s="19">
        <f t="shared" ref="G78:N78" si="38">G79</f>
        <v>414608</v>
      </c>
      <c r="H78" s="19">
        <f t="shared" si="38"/>
        <v>365248</v>
      </c>
      <c r="I78" s="19">
        <f t="shared" si="38"/>
        <v>313188</v>
      </c>
      <c r="J78" s="19">
        <f t="shared" si="38"/>
        <v>224332</v>
      </c>
      <c r="K78" s="19">
        <f t="shared" si="38"/>
        <v>209408</v>
      </c>
      <c r="L78" s="19">
        <f t="shared" si="38"/>
        <v>135960</v>
      </c>
      <c r="M78" s="19">
        <f t="shared" si="38"/>
        <v>173092</v>
      </c>
      <c r="N78" s="19">
        <f t="shared" si="38"/>
        <v>5520</v>
      </c>
      <c r="O78" s="19">
        <f t="shared" si="22"/>
        <v>2459596</v>
      </c>
      <c r="P78" s="93"/>
    </row>
    <row r="79" spans="1:16" s="96" customFormat="1">
      <c r="A79" s="90" t="s">
        <v>201</v>
      </c>
      <c r="B79" s="95" t="s">
        <v>209</v>
      </c>
      <c r="C79" s="95" t="s">
        <v>35</v>
      </c>
      <c r="D79" s="93" t="s">
        <v>51</v>
      </c>
      <c r="E79" s="19">
        <f>ROUND(E28/0.07*0.02,2)</f>
        <v>352160</v>
      </c>
      <c r="F79" s="19">
        <f>ROUND(F28/0.07*0.02,2)</f>
        <v>266080</v>
      </c>
      <c r="G79" s="19">
        <f t="shared" ref="G79:N79" si="39">ROUND(G28/0.07*0.02,2)</f>
        <v>414608</v>
      </c>
      <c r="H79" s="19">
        <f t="shared" si="39"/>
        <v>365248</v>
      </c>
      <c r="I79" s="19">
        <f t="shared" si="39"/>
        <v>313188</v>
      </c>
      <c r="J79" s="19">
        <f t="shared" si="39"/>
        <v>224332</v>
      </c>
      <c r="K79" s="19">
        <f t="shared" si="39"/>
        <v>209408</v>
      </c>
      <c r="L79" s="19">
        <f t="shared" si="39"/>
        <v>135960</v>
      </c>
      <c r="M79" s="19">
        <f t="shared" si="39"/>
        <v>173092</v>
      </c>
      <c r="N79" s="19">
        <f t="shared" si="39"/>
        <v>5520</v>
      </c>
      <c r="O79" s="19">
        <f t="shared" si="22"/>
        <v>2459596</v>
      </c>
      <c r="P79" s="93"/>
    </row>
    <row r="80" spans="1:16">
      <c r="A80" s="90" t="s">
        <v>203</v>
      </c>
      <c r="B80" s="91" t="s">
        <v>211</v>
      </c>
      <c r="C80" s="91"/>
      <c r="D80" s="92" t="s">
        <v>28</v>
      </c>
      <c r="E80" s="19">
        <f>E81</f>
        <v>32000</v>
      </c>
      <c r="F80" s="19">
        <f>F81</f>
        <v>32000</v>
      </c>
      <c r="G80" s="19">
        <f t="shared" ref="G80:N80" si="40">G81</f>
        <v>32000</v>
      </c>
      <c r="H80" s="19">
        <f t="shared" si="40"/>
        <v>32000</v>
      </c>
      <c r="I80" s="19">
        <f t="shared" si="40"/>
        <v>32000</v>
      </c>
      <c r="J80" s="19">
        <f t="shared" si="40"/>
        <v>0</v>
      </c>
      <c r="K80" s="19">
        <f t="shared" si="40"/>
        <v>32000</v>
      </c>
      <c r="L80" s="19">
        <f t="shared" si="40"/>
        <v>0</v>
      </c>
      <c r="M80" s="19">
        <f t="shared" si="40"/>
        <v>32000</v>
      </c>
      <c r="N80" s="19">
        <f t="shared" si="40"/>
        <v>0</v>
      </c>
      <c r="O80" s="19">
        <f t="shared" si="22"/>
        <v>224000</v>
      </c>
      <c r="P80" s="93"/>
    </row>
    <row r="81" spans="1:16" ht="33.75">
      <c r="A81" s="90" t="s">
        <v>206</v>
      </c>
      <c r="B81" s="91" t="s">
        <v>213</v>
      </c>
      <c r="C81" s="91" t="s">
        <v>35</v>
      </c>
      <c r="D81" s="102" t="s">
        <v>214</v>
      </c>
      <c r="E81" s="22">
        <v>32000</v>
      </c>
      <c r="F81" s="22">
        <v>32000</v>
      </c>
      <c r="G81" s="22">
        <v>32000</v>
      </c>
      <c r="H81" s="22">
        <v>32000</v>
      </c>
      <c r="I81" s="22">
        <v>32000</v>
      </c>
      <c r="J81" s="22"/>
      <c r="K81" s="22">
        <v>32000</v>
      </c>
      <c r="L81" s="22"/>
      <c r="M81" s="22">
        <v>32000</v>
      </c>
      <c r="N81" s="22"/>
      <c r="O81" s="19">
        <f t="shared" si="22"/>
        <v>224000</v>
      </c>
      <c r="P81" s="93"/>
    </row>
    <row r="82" spans="1:16">
      <c r="A82" s="90" t="s">
        <v>208</v>
      </c>
      <c r="B82" s="91" t="s">
        <v>216</v>
      </c>
      <c r="C82" s="91"/>
      <c r="D82" s="92" t="s">
        <v>28</v>
      </c>
      <c r="E82" s="19">
        <f>E83+E86+E89</f>
        <v>344560</v>
      </c>
      <c r="F82" s="19">
        <f>F83+F86+F89</f>
        <v>174640</v>
      </c>
      <c r="G82" s="19">
        <f t="shared" ref="G82:N82" si="41">G83+G86+G89</f>
        <v>155760</v>
      </c>
      <c r="H82" s="19">
        <f t="shared" si="41"/>
        <v>547520</v>
      </c>
      <c r="I82" s="19">
        <f t="shared" si="41"/>
        <v>155760</v>
      </c>
      <c r="J82" s="19">
        <f t="shared" si="41"/>
        <v>103840</v>
      </c>
      <c r="K82" s="19">
        <f t="shared" si="41"/>
        <v>18880</v>
      </c>
      <c r="L82" s="19">
        <f t="shared" si="41"/>
        <v>56640</v>
      </c>
      <c r="M82" s="19">
        <f t="shared" si="41"/>
        <v>37760</v>
      </c>
      <c r="N82" s="19">
        <f t="shared" si="41"/>
        <v>0</v>
      </c>
      <c r="O82" s="19">
        <f t="shared" si="22"/>
        <v>1595360</v>
      </c>
      <c r="P82" s="93"/>
    </row>
    <row r="83" spans="1:16">
      <c r="A83" s="90" t="s">
        <v>210</v>
      </c>
      <c r="B83" s="91" t="s">
        <v>218</v>
      </c>
      <c r="C83" s="91"/>
      <c r="D83" s="92" t="s">
        <v>28</v>
      </c>
      <c r="E83" s="19">
        <f>E84+E85</f>
        <v>0</v>
      </c>
      <c r="F83" s="19">
        <f>F84+F85</f>
        <v>0</v>
      </c>
      <c r="G83" s="19">
        <f t="shared" ref="G83:N83" si="42">G84+G85</f>
        <v>0</v>
      </c>
      <c r="H83" s="19">
        <f t="shared" si="42"/>
        <v>0</v>
      </c>
      <c r="I83" s="19">
        <f t="shared" si="42"/>
        <v>0</v>
      </c>
      <c r="J83" s="19">
        <f t="shared" si="42"/>
        <v>0</v>
      </c>
      <c r="K83" s="19">
        <f t="shared" si="42"/>
        <v>0</v>
      </c>
      <c r="L83" s="19">
        <f t="shared" si="42"/>
        <v>0</v>
      </c>
      <c r="M83" s="19">
        <f t="shared" si="42"/>
        <v>0</v>
      </c>
      <c r="N83" s="19">
        <f t="shared" si="42"/>
        <v>0</v>
      </c>
      <c r="O83" s="19">
        <f t="shared" si="22"/>
        <v>0</v>
      </c>
      <c r="P83" s="93"/>
    </row>
    <row r="84" spans="1:16">
      <c r="A84" s="90" t="s">
        <v>212</v>
      </c>
      <c r="B84" s="91" t="s">
        <v>220</v>
      </c>
      <c r="C84" s="91" t="s">
        <v>35</v>
      </c>
      <c r="D84" s="102" t="s">
        <v>135</v>
      </c>
      <c r="E84" s="99"/>
      <c r="F84" s="99"/>
      <c r="G84" s="99"/>
      <c r="H84" s="99"/>
      <c r="I84" s="99"/>
      <c r="J84" s="99"/>
      <c r="K84" s="99"/>
      <c r="L84" s="99"/>
      <c r="M84" s="99"/>
      <c r="N84" s="99"/>
      <c r="O84" s="19">
        <f t="shared" si="22"/>
        <v>0</v>
      </c>
      <c r="P84" s="98"/>
    </row>
    <row r="85" spans="1:16">
      <c r="A85" s="90" t="s">
        <v>215</v>
      </c>
      <c r="B85" s="91" t="s">
        <v>222</v>
      </c>
      <c r="C85" s="91" t="s">
        <v>35</v>
      </c>
      <c r="D85" s="92" t="s">
        <v>223</v>
      </c>
      <c r="E85" s="99"/>
      <c r="F85" s="99"/>
      <c r="G85" s="99"/>
      <c r="H85" s="99"/>
      <c r="I85" s="99"/>
      <c r="J85" s="99"/>
      <c r="K85" s="99"/>
      <c r="L85" s="99"/>
      <c r="M85" s="99"/>
      <c r="N85" s="99"/>
      <c r="O85" s="19">
        <f t="shared" si="22"/>
        <v>0</v>
      </c>
      <c r="P85" s="98"/>
    </row>
    <row r="86" spans="1:16">
      <c r="A86" s="90" t="s">
        <v>217</v>
      </c>
      <c r="B86" s="91" t="s">
        <v>225</v>
      </c>
      <c r="C86" s="91"/>
      <c r="D86" s="92" t="s">
        <v>28</v>
      </c>
      <c r="E86" s="19">
        <f>E87+E88</f>
        <v>344560</v>
      </c>
      <c r="F86" s="19">
        <f>F87+F88</f>
        <v>174640</v>
      </c>
      <c r="G86" s="19">
        <f t="shared" ref="G86:N86" si="43">G87+G88</f>
        <v>155760</v>
      </c>
      <c r="H86" s="19">
        <f t="shared" si="43"/>
        <v>547520</v>
      </c>
      <c r="I86" s="19">
        <f t="shared" si="43"/>
        <v>155760</v>
      </c>
      <c r="J86" s="19">
        <f t="shared" si="43"/>
        <v>103840</v>
      </c>
      <c r="K86" s="19">
        <f t="shared" si="43"/>
        <v>18880</v>
      </c>
      <c r="L86" s="19">
        <f t="shared" si="43"/>
        <v>56640</v>
      </c>
      <c r="M86" s="19">
        <f t="shared" si="43"/>
        <v>37760</v>
      </c>
      <c r="N86" s="19">
        <f t="shared" si="43"/>
        <v>0</v>
      </c>
      <c r="O86" s="19">
        <f t="shared" si="22"/>
        <v>1595360</v>
      </c>
      <c r="P86" s="93"/>
    </row>
    <row r="87" spans="1:16" s="96" customFormat="1" ht="22.5">
      <c r="A87" s="90" t="s">
        <v>219</v>
      </c>
      <c r="B87" s="95" t="s">
        <v>227</v>
      </c>
      <c r="C87" s="95" t="s">
        <v>35</v>
      </c>
      <c r="D87" s="103" t="s">
        <v>228</v>
      </c>
      <c r="E87" s="19">
        <f>E104*400</f>
        <v>29200</v>
      </c>
      <c r="F87" s="19">
        <f>F104*400</f>
        <v>14800</v>
      </c>
      <c r="G87" s="19">
        <f t="shared" ref="G87:N87" si="44">G104*400</f>
        <v>13200</v>
      </c>
      <c r="H87" s="19">
        <f t="shared" si="44"/>
        <v>46400</v>
      </c>
      <c r="I87" s="19">
        <f t="shared" si="44"/>
        <v>13200</v>
      </c>
      <c r="J87" s="19">
        <f t="shared" si="44"/>
        <v>8800</v>
      </c>
      <c r="K87" s="19">
        <f t="shared" si="44"/>
        <v>1600</v>
      </c>
      <c r="L87" s="19">
        <f t="shared" si="44"/>
        <v>4800</v>
      </c>
      <c r="M87" s="19">
        <f t="shared" si="44"/>
        <v>3200</v>
      </c>
      <c r="N87" s="19">
        <f t="shared" si="44"/>
        <v>0</v>
      </c>
      <c r="O87" s="19">
        <f t="shared" si="22"/>
        <v>135200</v>
      </c>
      <c r="P87" s="93"/>
    </row>
    <row r="88" spans="1:16" s="96" customFormat="1" ht="22.5">
      <c r="A88" s="90" t="s">
        <v>221</v>
      </c>
      <c r="B88" s="95" t="s">
        <v>230</v>
      </c>
      <c r="C88" s="95" t="s">
        <v>35</v>
      </c>
      <c r="D88" s="103" t="s">
        <v>231</v>
      </c>
      <c r="E88" s="19">
        <f>E104*4320</f>
        <v>315360</v>
      </c>
      <c r="F88" s="19">
        <f>F104*4320</f>
        <v>159840</v>
      </c>
      <c r="G88" s="19">
        <f t="shared" ref="G88:N88" si="45">G104*4320</f>
        <v>142560</v>
      </c>
      <c r="H88" s="19">
        <f t="shared" si="45"/>
        <v>501120</v>
      </c>
      <c r="I88" s="19">
        <f t="shared" si="45"/>
        <v>142560</v>
      </c>
      <c r="J88" s="19">
        <f t="shared" si="45"/>
        <v>95040</v>
      </c>
      <c r="K88" s="19">
        <f t="shared" si="45"/>
        <v>17280</v>
      </c>
      <c r="L88" s="19">
        <f t="shared" si="45"/>
        <v>51840</v>
      </c>
      <c r="M88" s="19">
        <f t="shared" si="45"/>
        <v>34560</v>
      </c>
      <c r="N88" s="19">
        <f t="shared" si="45"/>
        <v>0</v>
      </c>
      <c r="O88" s="19">
        <f t="shared" si="22"/>
        <v>1460160</v>
      </c>
      <c r="P88" s="93"/>
    </row>
    <row r="89" spans="1:16">
      <c r="A89" s="90" t="s">
        <v>224</v>
      </c>
      <c r="B89" s="91" t="s">
        <v>233</v>
      </c>
      <c r="C89" s="91" t="s">
        <v>35</v>
      </c>
      <c r="D89" s="102" t="s">
        <v>135</v>
      </c>
      <c r="E89" s="104"/>
      <c r="F89" s="104"/>
      <c r="G89" s="104"/>
      <c r="H89" s="104"/>
      <c r="I89" s="104"/>
      <c r="J89" s="104"/>
      <c r="K89" s="104"/>
      <c r="L89" s="104"/>
      <c r="M89" s="104"/>
      <c r="N89" s="104"/>
      <c r="O89" s="19">
        <f t="shared" si="22"/>
        <v>0</v>
      </c>
      <c r="P89" s="98"/>
    </row>
    <row r="90" spans="1:16">
      <c r="A90" s="90" t="s">
        <v>226</v>
      </c>
      <c r="B90" s="91" t="s">
        <v>235</v>
      </c>
      <c r="C90" s="91"/>
      <c r="D90" s="92" t="s">
        <v>28</v>
      </c>
      <c r="E90" s="19">
        <f>E91</f>
        <v>0</v>
      </c>
      <c r="F90" s="19">
        <f>F91</f>
        <v>0</v>
      </c>
      <c r="G90" s="19">
        <f t="shared" ref="G90:N90" si="46">G91</f>
        <v>0</v>
      </c>
      <c r="H90" s="19">
        <f t="shared" si="46"/>
        <v>0</v>
      </c>
      <c r="I90" s="19">
        <f t="shared" si="46"/>
        <v>0</v>
      </c>
      <c r="J90" s="19">
        <f t="shared" si="46"/>
        <v>32000</v>
      </c>
      <c r="K90" s="19">
        <f t="shared" si="46"/>
        <v>5000</v>
      </c>
      <c r="L90" s="19">
        <f t="shared" si="46"/>
        <v>32000</v>
      </c>
      <c r="M90" s="19">
        <f t="shared" si="46"/>
        <v>5000</v>
      </c>
      <c r="N90" s="19">
        <f t="shared" si="46"/>
        <v>32000</v>
      </c>
      <c r="O90" s="19">
        <f t="shared" ref="O90:O106" si="47">SUM(E90:N90)</f>
        <v>106000</v>
      </c>
      <c r="P90" s="93"/>
    </row>
    <row r="91" spans="1:16" ht="68.25" thickBot="1">
      <c r="A91" s="90" t="s">
        <v>229</v>
      </c>
      <c r="B91" s="105" t="s">
        <v>237</v>
      </c>
      <c r="C91" s="91" t="s">
        <v>35</v>
      </c>
      <c r="D91" s="106" t="s">
        <v>284</v>
      </c>
      <c r="E91" s="107"/>
      <c r="F91" s="107"/>
      <c r="G91" s="107"/>
      <c r="H91" s="107"/>
      <c r="I91" s="107"/>
      <c r="J91" s="107">
        <v>32000</v>
      </c>
      <c r="K91" s="107">
        <v>5000</v>
      </c>
      <c r="L91" s="107">
        <v>32000</v>
      </c>
      <c r="M91" s="107">
        <v>5000</v>
      </c>
      <c r="N91" s="107">
        <v>32000</v>
      </c>
      <c r="O91" s="19">
        <f t="shared" si="47"/>
        <v>106000</v>
      </c>
      <c r="P91" s="108"/>
    </row>
    <row r="92" spans="1:16" ht="23.25" customHeight="1" thickTop="1">
      <c r="A92" s="90" t="s">
        <v>232</v>
      </c>
      <c r="B92" s="109" t="s">
        <v>240</v>
      </c>
      <c r="C92" s="109"/>
      <c r="D92" s="110"/>
      <c r="E92" s="111"/>
      <c r="F92" s="111"/>
      <c r="G92" s="111"/>
      <c r="H92" s="111"/>
      <c r="I92" s="111"/>
      <c r="J92" s="111"/>
      <c r="K92" s="111"/>
      <c r="L92" s="111"/>
      <c r="M92" s="111"/>
      <c r="N92" s="111"/>
      <c r="O92" s="19">
        <f t="shared" si="47"/>
        <v>0</v>
      </c>
      <c r="P92" s="112"/>
    </row>
    <row r="93" spans="1:16" ht="22.5">
      <c r="A93" s="90" t="s">
        <v>234</v>
      </c>
      <c r="B93" s="91" t="s">
        <v>242</v>
      </c>
      <c r="C93" s="91"/>
      <c r="D93" s="92" t="s">
        <v>285</v>
      </c>
      <c r="E93" s="19">
        <f>E94+E95+E96+E97</f>
        <v>79</v>
      </c>
      <c r="F93" s="19">
        <f>F94+F95+F96+F97</f>
        <v>59</v>
      </c>
      <c r="G93" s="19">
        <f t="shared" ref="G93:N93" si="48">G94+G95+G96+G97</f>
        <v>112</v>
      </c>
      <c r="H93" s="19">
        <f t="shared" si="48"/>
        <v>86</v>
      </c>
      <c r="I93" s="19">
        <f t="shared" si="48"/>
        <v>70</v>
      </c>
      <c r="J93" s="19">
        <f t="shared" si="48"/>
        <v>54</v>
      </c>
      <c r="K93" s="19">
        <f t="shared" si="48"/>
        <v>50</v>
      </c>
      <c r="L93" s="19">
        <f t="shared" si="48"/>
        <v>37</v>
      </c>
      <c r="M93" s="19">
        <f t="shared" si="48"/>
        <v>45</v>
      </c>
      <c r="N93" s="19">
        <f t="shared" si="48"/>
        <v>1</v>
      </c>
      <c r="O93" s="19">
        <f t="shared" si="47"/>
        <v>593</v>
      </c>
      <c r="P93" s="93"/>
    </row>
    <row r="94" spans="1:16">
      <c r="A94" s="90" t="s">
        <v>236</v>
      </c>
      <c r="B94" s="113" t="s">
        <v>245</v>
      </c>
      <c r="C94" s="113"/>
      <c r="D94" s="98"/>
      <c r="E94" s="99">
        <v>79</v>
      </c>
      <c r="F94" s="99">
        <v>59</v>
      </c>
      <c r="G94" s="99">
        <v>58</v>
      </c>
      <c r="H94" s="99"/>
      <c r="I94" s="99"/>
      <c r="J94" s="99"/>
      <c r="K94" s="99"/>
      <c r="L94" s="99"/>
      <c r="M94" s="99"/>
      <c r="N94" s="99"/>
      <c r="O94" s="19">
        <f t="shared" si="47"/>
        <v>196</v>
      </c>
      <c r="P94" s="93"/>
    </row>
    <row r="95" spans="1:16">
      <c r="A95" s="90" t="s">
        <v>239</v>
      </c>
      <c r="B95" s="113" t="s">
        <v>247</v>
      </c>
      <c r="C95" s="113"/>
      <c r="D95" s="92"/>
      <c r="E95" s="22"/>
      <c r="F95" s="22"/>
      <c r="G95" s="22">
        <v>54</v>
      </c>
      <c r="H95" s="22">
        <v>86</v>
      </c>
      <c r="I95" s="22">
        <v>70</v>
      </c>
      <c r="J95" s="22"/>
      <c r="K95" s="22"/>
      <c r="L95" s="22"/>
      <c r="M95" s="22"/>
      <c r="N95" s="22"/>
      <c r="O95" s="19">
        <f t="shared" si="47"/>
        <v>210</v>
      </c>
      <c r="P95" s="93"/>
    </row>
    <row r="96" spans="1:16">
      <c r="A96" s="90" t="s">
        <v>241</v>
      </c>
      <c r="B96" s="113" t="s">
        <v>249</v>
      </c>
      <c r="C96" s="113"/>
      <c r="D96" s="98"/>
      <c r="E96" s="99"/>
      <c r="F96" s="99"/>
      <c r="G96" s="99"/>
      <c r="H96" s="99"/>
      <c r="I96" s="99"/>
      <c r="J96" s="99">
        <v>54</v>
      </c>
      <c r="K96" s="99">
        <v>50</v>
      </c>
      <c r="L96" s="99">
        <v>37</v>
      </c>
      <c r="M96" s="99">
        <v>45</v>
      </c>
      <c r="N96" s="99"/>
      <c r="O96" s="19">
        <f t="shared" si="47"/>
        <v>186</v>
      </c>
      <c r="P96" s="93"/>
    </row>
    <row r="97" spans="1:16">
      <c r="A97" s="90" t="s">
        <v>244</v>
      </c>
      <c r="B97" s="113" t="s">
        <v>251</v>
      </c>
      <c r="C97" s="113"/>
      <c r="D97" s="98"/>
      <c r="E97" s="99"/>
      <c r="F97" s="99"/>
      <c r="G97" s="99"/>
      <c r="H97" s="99"/>
      <c r="I97" s="99"/>
      <c r="J97" s="99"/>
      <c r="K97" s="99"/>
      <c r="L97" s="99"/>
      <c r="M97" s="99"/>
      <c r="N97" s="99">
        <v>1</v>
      </c>
      <c r="O97" s="19">
        <f t="shared" si="47"/>
        <v>1</v>
      </c>
      <c r="P97" s="93"/>
    </row>
    <row r="98" spans="1:16" ht="22.5">
      <c r="A98" s="90" t="s">
        <v>246</v>
      </c>
      <c r="B98" s="91" t="s">
        <v>253</v>
      </c>
      <c r="C98" s="91"/>
      <c r="D98" s="92" t="s">
        <v>286</v>
      </c>
      <c r="E98" s="19">
        <f>E99+E100+E101+E102</f>
        <v>660</v>
      </c>
      <c r="F98" s="19">
        <f>F99+F100+F101+F102</f>
        <v>561</v>
      </c>
      <c r="G98" s="19">
        <f t="shared" ref="G98:N98" si="49">G99+G100+G101+G102</f>
        <v>1246</v>
      </c>
      <c r="H98" s="19">
        <f t="shared" si="49"/>
        <v>1143</v>
      </c>
      <c r="I98" s="19">
        <f t="shared" si="49"/>
        <v>1035</v>
      </c>
      <c r="J98" s="19">
        <f t="shared" si="49"/>
        <v>552</v>
      </c>
      <c r="K98" s="19">
        <f t="shared" si="49"/>
        <v>439</v>
      </c>
      <c r="L98" s="19">
        <f t="shared" si="49"/>
        <v>324</v>
      </c>
      <c r="M98" s="19">
        <f t="shared" si="49"/>
        <v>407</v>
      </c>
      <c r="N98" s="19">
        <f t="shared" si="49"/>
        <v>0</v>
      </c>
      <c r="O98" s="19">
        <f t="shared" si="47"/>
        <v>6367</v>
      </c>
      <c r="P98" s="93"/>
    </row>
    <row r="99" spans="1:16">
      <c r="A99" s="90" t="s">
        <v>248</v>
      </c>
      <c r="B99" s="113" t="s">
        <v>245</v>
      </c>
      <c r="C99" s="113"/>
      <c r="D99" s="98"/>
      <c r="E99" s="99">
        <v>660</v>
      </c>
      <c r="F99" s="99">
        <v>561</v>
      </c>
      <c r="G99" s="99">
        <v>487</v>
      </c>
      <c r="H99" s="99"/>
      <c r="I99" s="99"/>
      <c r="J99" s="99"/>
      <c r="K99" s="99"/>
      <c r="L99" s="99"/>
      <c r="M99" s="99"/>
      <c r="N99" s="99"/>
      <c r="O99" s="19">
        <f t="shared" si="47"/>
        <v>1708</v>
      </c>
      <c r="P99" s="93"/>
    </row>
    <row r="100" spans="1:16">
      <c r="A100" s="90" t="s">
        <v>250</v>
      </c>
      <c r="B100" s="113" t="s">
        <v>247</v>
      </c>
      <c r="C100" s="113"/>
      <c r="D100" s="92"/>
      <c r="E100" s="22"/>
      <c r="F100" s="22"/>
      <c r="G100" s="22">
        <v>759</v>
      </c>
      <c r="H100" s="22">
        <v>1143</v>
      </c>
      <c r="I100" s="22">
        <v>1035</v>
      </c>
      <c r="J100" s="22"/>
      <c r="K100" s="22"/>
      <c r="L100" s="22"/>
      <c r="M100" s="22"/>
      <c r="N100" s="22"/>
      <c r="O100" s="19">
        <f t="shared" si="47"/>
        <v>2937</v>
      </c>
      <c r="P100" s="93"/>
    </row>
    <row r="101" spans="1:16">
      <c r="A101" s="90" t="s">
        <v>252</v>
      </c>
      <c r="B101" s="113" t="s">
        <v>249</v>
      </c>
      <c r="C101" s="113"/>
      <c r="D101" s="98"/>
      <c r="E101" s="99"/>
      <c r="F101" s="99"/>
      <c r="G101" s="99"/>
      <c r="H101" s="99"/>
      <c r="I101" s="99"/>
      <c r="J101" s="99">
        <v>552</v>
      </c>
      <c r="K101" s="99">
        <v>439</v>
      </c>
      <c r="L101" s="99">
        <v>324</v>
      </c>
      <c r="M101" s="99">
        <v>407</v>
      </c>
      <c r="N101" s="99"/>
      <c r="O101" s="19">
        <f t="shared" si="47"/>
        <v>1722</v>
      </c>
      <c r="P101" s="93"/>
    </row>
    <row r="102" spans="1:16">
      <c r="A102" s="90" t="s">
        <v>255</v>
      </c>
      <c r="B102" s="113" t="s">
        <v>251</v>
      </c>
      <c r="C102" s="113"/>
      <c r="D102" s="98"/>
      <c r="E102" s="99"/>
      <c r="F102" s="99"/>
      <c r="G102" s="99"/>
      <c r="H102" s="99"/>
      <c r="I102" s="99"/>
      <c r="J102" s="99"/>
      <c r="K102" s="99"/>
      <c r="L102" s="99"/>
      <c r="M102" s="99"/>
      <c r="N102" s="99"/>
      <c r="O102" s="19">
        <f t="shared" si="47"/>
        <v>0</v>
      </c>
      <c r="P102" s="93"/>
    </row>
    <row r="103" spans="1:16">
      <c r="A103" s="90" t="s">
        <v>256</v>
      </c>
      <c r="B103" s="91" t="s">
        <v>260</v>
      </c>
      <c r="C103" s="91"/>
      <c r="D103" s="102"/>
      <c r="E103" s="114"/>
      <c r="F103" s="114"/>
      <c r="G103" s="114"/>
      <c r="H103" s="114"/>
      <c r="I103" s="114"/>
      <c r="J103" s="114"/>
      <c r="K103" s="114"/>
      <c r="L103" s="114"/>
      <c r="M103" s="114"/>
      <c r="N103" s="114"/>
      <c r="O103" s="19">
        <f t="shared" si="47"/>
        <v>0</v>
      </c>
      <c r="P103" s="93"/>
    </row>
    <row r="104" spans="1:16">
      <c r="A104" s="90" t="s">
        <v>257</v>
      </c>
      <c r="B104" s="91" t="s">
        <v>261</v>
      </c>
      <c r="C104" s="91"/>
      <c r="D104" s="92"/>
      <c r="E104" s="22">
        <v>73</v>
      </c>
      <c r="F104" s="22">
        <v>37</v>
      </c>
      <c r="G104" s="22">
        <v>33</v>
      </c>
      <c r="H104" s="22">
        <v>116</v>
      </c>
      <c r="I104" s="22">
        <v>33</v>
      </c>
      <c r="J104" s="22">
        <v>22</v>
      </c>
      <c r="K104" s="22">
        <v>4</v>
      </c>
      <c r="L104" s="22">
        <v>12</v>
      </c>
      <c r="M104" s="22">
        <v>8</v>
      </c>
      <c r="N104" s="22"/>
      <c r="O104" s="19">
        <f t="shared" si="47"/>
        <v>338</v>
      </c>
      <c r="P104" s="93"/>
    </row>
    <row r="105" spans="1:16">
      <c r="A105" s="90" t="s">
        <v>258</v>
      </c>
      <c r="B105" s="113" t="s">
        <v>262</v>
      </c>
      <c r="C105" s="113"/>
      <c r="D105" s="102"/>
      <c r="E105" s="22">
        <v>11571.75</v>
      </c>
      <c r="F105" s="22">
        <v>12080.05</v>
      </c>
      <c r="G105" s="22">
        <v>19243.82</v>
      </c>
      <c r="H105" s="22">
        <v>13514.56</v>
      </c>
      <c r="I105" s="22">
        <v>11976.01</v>
      </c>
      <c r="J105" s="22">
        <v>12231.55</v>
      </c>
      <c r="K105" s="22">
        <v>5768.05</v>
      </c>
      <c r="L105" s="22">
        <v>2786.18</v>
      </c>
      <c r="M105" s="22">
        <v>6511.75</v>
      </c>
      <c r="N105" s="22">
        <v>4307</v>
      </c>
      <c r="O105" s="19">
        <f t="shared" si="47"/>
        <v>99990.719999999987</v>
      </c>
      <c r="P105" s="93"/>
    </row>
    <row r="106" spans="1:16">
      <c r="A106" s="90" t="s">
        <v>259</v>
      </c>
      <c r="B106" s="113" t="s">
        <v>263</v>
      </c>
      <c r="C106" s="113"/>
      <c r="D106" s="102"/>
      <c r="E106" s="22">
        <v>3657.06</v>
      </c>
      <c r="F106" s="22">
        <v>6113.2</v>
      </c>
      <c r="G106" s="22">
        <v>8901.7999999999993</v>
      </c>
      <c r="H106" s="22">
        <v>7968</v>
      </c>
      <c r="I106" s="22">
        <v>3363</v>
      </c>
      <c r="J106" s="22">
        <v>3780</v>
      </c>
      <c r="K106" s="22">
        <v>2983.5</v>
      </c>
      <c r="L106" s="22">
        <v>716</v>
      </c>
      <c r="M106" s="22">
        <v>3529</v>
      </c>
      <c r="N106" s="22">
        <v>280</v>
      </c>
      <c r="O106" s="19">
        <f t="shared" si="47"/>
        <v>41291.56</v>
      </c>
      <c r="P106" s="93"/>
    </row>
    <row r="107" spans="1:16">
      <c r="E107" s="86">
        <f t="shared" ref="E107:O107" si="50">E4/E93</f>
        <v>356238.51240506332</v>
      </c>
      <c r="F107" s="86">
        <f t="shared" si="50"/>
        <v>358015.0549152543</v>
      </c>
      <c r="G107" s="86">
        <f t="shared" si="50"/>
        <v>342113.69482142857</v>
      </c>
      <c r="H107" s="86">
        <f t="shared" si="50"/>
        <v>346936.57837209303</v>
      </c>
      <c r="I107" s="86">
        <f t="shared" si="50"/>
        <v>353772.42942857143</v>
      </c>
      <c r="J107" s="86">
        <f t="shared" si="50"/>
        <v>324154.00925925927</v>
      </c>
      <c r="K107" s="86">
        <f t="shared" si="50"/>
        <v>326694.9644</v>
      </c>
      <c r="L107" s="86">
        <f t="shared" si="50"/>
        <v>311565.48324324319</v>
      </c>
      <c r="M107" s="86">
        <f t="shared" si="50"/>
        <v>319377.10622222221</v>
      </c>
      <c r="N107" s="86">
        <f t="shared" si="50"/>
        <v>388090.56</v>
      </c>
      <c r="O107" s="86">
        <f t="shared" si="50"/>
        <v>341163.79136593593</v>
      </c>
    </row>
  </sheetData>
  <protectedRanges>
    <protectedRange password="E9C1" sqref="D28 O21:P26 P20 O4:P9 P10 P27 A2:P3 A4:D5 O11:P19 O28:P106 B30:D106 B6:D26 A6:A106" name="区域1_1_2"/>
    <protectedRange password="E9C1" sqref="B27:C29" name="区域1_1_1_1"/>
    <protectedRange password="E9C1" sqref="D27" name="区域1_3"/>
    <protectedRange password="E9C1" sqref="D29" name="区域1_2_1"/>
  </protectedRanges>
  <mergeCells count="1">
    <mergeCell ref="A1:P1"/>
  </mergeCells>
  <phoneticPr fontId="3" type="noConversion"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6"/>
  <sheetViews>
    <sheetView workbookViewId="0">
      <selection activeCell="G12" sqref="G12"/>
    </sheetView>
  </sheetViews>
  <sheetFormatPr defaultRowHeight="13.5"/>
  <cols>
    <col min="1" max="1" width="5.375" style="79" customWidth="1"/>
    <col min="2" max="2" width="21.375" customWidth="1"/>
    <col min="4" max="4" width="9" customWidth="1"/>
    <col min="5" max="5" width="7.5" style="80" customWidth="1"/>
    <col min="6" max="6" width="10" customWidth="1"/>
    <col min="7" max="7" width="14" customWidth="1"/>
  </cols>
  <sheetData>
    <row r="1" spans="1:7" ht="20.25">
      <c r="A1" s="350" t="s">
        <v>488</v>
      </c>
      <c r="B1" s="350"/>
      <c r="C1" s="350"/>
      <c r="D1" s="350"/>
      <c r="E1" s="350"/>
      <c r="F1" s="350"/>
      <c r="G1" s="350"/>
    </row>
    <row r="2" spans="1:7">
      <c r="A2" s="71" t="s">
        <v>1</v>
      </c>
      <c r="B2" s="81" t="s">
        <v>366</v>
      </c>
      <c r="C2" s="72" t="s">
        <v>367</v>
      </c>
      <c r="D2" s="73" t="s">
        <v>368</v>
      </c>
      <c r="E2" s="82" t="s">
        <v>369</v>
      </c>
      <c r="F2" s="74" t="s">
        <v>370</v>
      </c>
      <c r="G2" s="73" t="s">
        <v>371</v>
      </c>
    </row>
    <row r="3" spans="1:7">
      <c r="A3" s="71">
        <v>1</v>
      </c>
      <c r="B3" s="75" t="s">
        <v>372</v>
      </c>
      <c r="C3" s="76" t="s">
        <v>373</v>
      </c>
      <c r="D3" s="75" t="s">
        <v>374</v>
      </c>
      <c r="E3" s="83">
        <v>79</v>
      </c>
      <c r="F3" s="76">
        <v>191300</v>
      </c>
      <c r="G3" s="76">
        <f>E3*F3</f>
        <v>15112700</v>
      </c>
    </row>
    <row r="4" spans="1:7">
      <c r="A4" s="71">
        <v>2</v>
      </c>
      <c r="B4" s="75" t="s">
        <v>375</v>
      </c>
      <c r="C4" s="76" t="s">
        <v>373</v>
      </c>
      <c r="D4" s="75" t="s">
        <v>374</v>
      </c>
      <c r="E4" s="83">
        <v>59</v>
      </c>
      <c r="F4" s="76">
        <v>191300</v>
      </c>
      <c r="G4" s="76">
        <f t="shared" ref="G4:G67" si="0">E4*F4</f>
        <v>11286700</v>
      </c>
    </row>
    <row r="5" spans="1:7">
      <c r="A5" s="71">
        <v>3</v>
      </c>
      <c r="B5" s="75" t="s">
        <v>376</v>
      </c>
      <c r="C5" s="76" t="s">
        <v>373</v>
      </c>
      <c r="D5" s="75" t="s">
        <v>377</v>
      </c>
      <c r="E5" s="84">
        <v>112</v>
      </c>
      <c r="F5" s="76">
        <v>191300</v>
      </c>
      <c r="G5" s="76">
        <f t="shared" si="0"/>
        <v>21425600</v>
      </c>
    </row>
    <row r="6" spans="1:7">
      <c r="A6" s="71">
        <v>4</v>
      </c>
      <c r="B6" s="75" t="s">
        <v>378</v>
      </c>
      <c r="C6" s="76" t="s">
        <v>373</v>
      </c>
      <c r="D6" s="75" t="s">
        <v>379</v>
      </c>
      <c r="E6" s="84">
        <v>86</v>
      </c>
      <c r="F6" s="76">
        <v>191300</v>
      </c>
      <c r="G6" s="76">
        <f t="shared" si="0"/>
        <v>16451800</v>
      </c>
    </row>
    <row r="7" spans="1:7">
      <c r="A7" s="71">
        <v>5</v>
      </c>
      <c r="B7" s="75" t="s">
        <v>380</v>
      </c>
      <c r="C7" s="76" t="s">
        <v>373</v>
      </c>
      <c r="D7" s="75" t="s">
        <v>379</v>
      </c>
      <c r="E7" s="84">
        <v>70</v>
      </c>
      <c r="F7" s="76">
        <v>191300</v>
      </c>
      <c r="G7" s="76">
        <f t="shared" si="0"/>
        <v>13391000</v>
      </c>
    </row>
    <row r="8" spans="1:7">
      <c r="A8" s="71">
        <v>6</v>
      </c>
      <c r="B8" s="75" t="s">
        <v>381</v>
      </c>
      <c r="C8" s="76" t="s">
        <v>373</v>
      </c>
      <c r="D8" s="75" t="s">
        <v>382</v>
      </c>
      <c r="E8" s="84">
        <v>54</v>
      </c>
      <c r="F8" s="76">
        <v>174600</v>
      </c>
      <c r="G8" s="76">
        <f t="shared" si="0"/>
        <v>9428400</v>
      </c>
    </row>
    <row r="9" spans="1:7">
      <c r="A9" s="71">
        <v>7</v>
      </c>
      <c r="B9" s="75" t="s">
        <v>383</v>
      </c>
      <c r="C9" s="76" t="s">
        <v>373</v>
      </c>
      <c r="D9" s="75" t="s">
        <v>382</v>
      </c>
      <c r="E9" s="84">
        <v>50</v>
      </c>
      <c r="F9" s="76">
        <v>174600</v>
      </c>
      <c r="G9" s="76">
        <f t="shared" si="0"/>
        <v>8730000</v>
      </c>
    </row>
    <row r="10" spans="1:7">
      <c r="A10" s="71">
        <v>8</v>
      </c>
      <c r="B10" s="75" t="s">
        <v>384</v>
      </c>
      <c r="C10" s="76" t="s">
        <v>373</v>
      </c>
      <c r="D10" s="75" t="s">
        <v>382</v>
      </c>
      <c r="E10" s="84">
        <v>37</v>
      </c>
      <c r="F10" s="76">
        <v>174600</v>
      </c>
      <c r="G10" s="76">
        <f t="shared" si="0"/>
        <v>6460200</v>
      </c>
    </row>
    <row r="11" spans="1:7">
      <c r="A11" s="71">
        <v>9</v>
      </c>
      <c r="B11" s="75" t="s">
        <v>385</v>
      </c>
      <c r="C11" s="76" t="s">
        <v>373</v>
      </c>
      <c r="D11" s="75" t="s">
        <v>382</v>
      </c>
      <c r="E11" s="84">
        <v>45</v>
      </c>
      <c r="F11" s="76">
        <v>174600</v>
      </c>
      <c r="G11" s="76">
        <f t="shared" si="0"/>
        <v>7857000</v>
      </c>
    </row>
    <row r="12" spans="1:7">
      <c r="A12" s="71">
        <v>10</v>
      </c>
      <c r="B12" s="75" t="s">
        <v>386</v>
      </c>
      <c r="C12" s="76" t="s">
        <v>373</v>
      </c>
      <c r="D12" s="75" t="s">
        <v>275</v>
      </c>
      <c r="E12" s="84">
        <v>1</v>
      </c>
      <c r="F12" s="76">
        <v>185700</v>
      </c>
      <c r="G12" s="76">
        <f t="shared" si="0"/>
        <v>185700</v>
      </c>
    </row>
    <row r="13" spans="1:7">
      <c r="A13" s="71"/>
      <c r="B13" s="75"/>
      <c r="C13" s="77" t="s">
        <v>387</v>
      </c>
      <c r="D13" s="75"/>
      <c r="E13" s="85">
        <f>SUM(E3:E12)</f>
        <v>593</v>
      </c>
      <c r="F13" s="85"/>
      <c r="G13" s="85">
        <f t="shared" ref="G13" si="1">SUM(G3:G12)</f>
        <v>110329100</v>
      </c>
    </row>
    <row r="14" spans="1:7">
      <c r="A14" s="71">
        <v>1</v>
      </c>
      <c r="B14" s="75" t="s">
        <v>388</v>
      </c>
      <c r="C14" s="76" t="s">
        <v>389</v>
      </c>
      <c r="D14" s="75" t="s">
        <v>377</v>
      </c>
      <c r="E14" s="84">
        <v>118</v>
      </c>
      <c r="F14" s="76">
        <v>191300</v>
      </c>
      <c r="G14" s="76">
        <f t="shared" si="0"/>
        <v>22573400</v>
      </c>
    </row>
    <row r="15" spans="1:7">
      <c r="A15" s="71">
        <v>2</v>
      </c>
      <c r="B15" s="75" t="s">
        <v>390</v>
      </c>
      <c r="C15" s="76" t="s">
        <v>389</v>
      </c>
      <c r="D15" s="75" t="s">
        <v>377</v>
      </c>
      <c r="E15" s="84">
        <v>151</v>
      </c>
      <c r="F15" s="76">
        <v>191300</v>
      </c>
      <c r="G15" s="76">
        <f t="shared" si="0"/>
        <v>28886300</v>
      </c>
    </row>
    <row r="16" spans="1:7">
      <c r="A16" s="71">
        <v>3</v>
      </c>
      <c r="B16" s="75" t="s">
        <v>391</v>
      </c>
      <c r="C16" s="76" t="s">
        <v>389</v>
      </c>
      <c r="D16" s="75" t="s">
        <v>377</v>
      </c>
      <c r="E16" s="84">
        <v>143</v>
      </c>
      <c r="F16" s="76">
        <v>191300</v>
      </c>
      <c r="G16" s="76">
        <f t="shared" si="0"/>
        <v>27355900</v>
      </c>
    </row>
    <row r="17" spans="1:7">
      <c r="A17" s="71">
        <v>4</v>
      </c>
      <c r="B17" s="75" t="s">
        <v>392</v>
      </c>
      <c r="C17" s="76" t="s">
        <v>389</v>
      </c>
      <c r="D17" s="75" t="s">
        <v>382</v>
      </c>
      <c r="E17" s="84">
        <v>36</v>
      </c>
      <c r="F17" s="76">
        <v>174600</v>
      </c>
      <c r="G17" s="76">
        <f t="shared" si="0"/>
        <v>6285600</v>
      </c>
    </row>
    <row r="18" spans="1:7">
      <c r="A18" s="71">
        <v>5</v>
      </c>
      <c r="B18" s="75" t="s">
        <v>393</v>
      </c>
      <c r="C18" s="76" t="s">
        <v>389</v>
      </c>
      <c r="D18" s="75" t="s">
        <v>382</v>
      </c>
      <c r="E18" s="84">
        <v>59</v>
      </c>
      <c r="F18" s="76">
        <v>174600</v>
      </c>
      <c r="G18" s="76">
        <f t="shared" si="0"/>
        <v>10301400</v>
      </c>
    </row>
    <row r="19" spans="1:7">
      <c r="A19" s="71">
        <v>6</v>
      </c>
      <c r="B19" s="75" t="s">
        <v>394</v>
      </c>
      <c r="C19" s="76" t="s">
        <v>389</v>
      </c>
      <c r="D19" s="75" t="s">
        <v>382</v>
      </c>
      <c r="E19" s="84">
        <v>30</v>
      </c>
      <c r="F19" s="76">
        <v>174600</v>
      </c>
      <c r="G19" s="76">
        <f t="shared" si="0"/>
        <v>5238000</v>
      </c>
    </row>
    <row r="20" spans="1:7">
      <c r="A20" s="71">
        <v>7</v>
      </c>
      <c r="B20" s="75" t="s">
        <v>395</v>
      </c>
      <c r="C20" s="76" t="s">
        <v>389</v>
      </c>
      <c r="D20" s="75" t="s">
        <v>382</v>
      </c>
      <c r="E20" s="84">
        <v>43</v>
      </c>
      <c r="F20" s="76">
        <v>174600</v>
      </c>
      <c r="G20" s="76">
        <f t="shared" si="0"/>
        <v>7507800</v>
      </c>
    </row>
    <row r="21" spans="1:7">
      <c r="A21" s="71">
        <v>8</v>
      </c>
      <c r="B21" s="75" t="s">
        <v>396</v>
      </c>
      <c r="C21" s="76" t="s">
        <v>389</v>
      </c>
      <c r="D21" s="75" t="s">
        <v>275</v>
      </c>
      <c r="E21" s="84">
        <v>7</v>
      </c>
      <c r="F21" s="76">
        <v>185700</v>
      </c>
      <c r="G21" s="76">
        <f t="shared" si="0"/>
        <v>1299900</v>
      </c>
    </row>
    <row r="22" spans="1:7">
      <c r="A22" s="71"/>
      <c r="B22" s="75"/>
      <c r="C22" s="78" t="s">
        <v>397</v>
      </c>
      <c r="D22" s="75"/>
      <c r="E22" s="84">
        <f>SUM(E14:E21)</f>
        <v>587</v>
      </c>
      <c r="F22" s="84"/>
      <c r="G22" s="84">
        <f t="shared" ref="G22" si="2">SUM(G14:G21)</f>
        <v>109448300</v>
      </c>
    </row>
    <row r="23" spans="1:7">
      <c r="A23" s="71">
        <v>1</v>
      </c>
      <c r="B23" s="75" t="s">
        <v>398</v>
      </c>
      <c r="C23" s="76" t="s">
        <v>399</v>
      </c>
      <c r="D23" s="75" t="s">
        <v>374</v>
      </c>
      <c r="E23" s="84">
        <v>73</v>
      </c>
      <c r="F23" s="76">
        <v>191300</v>
      </c>
      <c r="G23" s="76">
        <f t="shared" si="0"/>
        <v>13964900</v>
      </c>
    </row>
    <row r="24" spans="1:7">
      <c r="A24" s="71">
        <v>2</v>
      </c>
      <c r="B24" s="75" t="s">
        <v>400</v>
      </c>
      <c r="C24" s="76" t="s">
        <v>399</v>
      </c>
      <c r="D24" s="75" t="s">
        <v>377</v>
      </c>
      <c r="E24" s="84">
        <v>169</v>
      </c>
      <c r="F24" s="76">
        <v>191300</v>
      </c>
      <c r="G24" s="76">
        <f t="shared" si="0"/>
        <v>32329700</v>
      </c>
    </row>
    <row r="25" spans="1:7">
      <c r="A25" s="71">
        <v>3</v>
      </c>
      <c r="B25" s="75" t="s">
        <v>401</v>
      </c>
      <c r="C25" s="76" t="s">
        <v>399</v>
      </c>
      <c r="D25" s="75" t="s">
        <v>377</v>
      </c>
      <c r="E25" s="84">
        <v>95</v>
      </c>
      <c r="F25" s="76">
        <v>191300</v>
      </c>
      <c r="G25" s="76">
        <f t="shared" si="0"/>
        <v>18173500</v>
      </c>
    </row>
    <row r="26" spans="1:7">
      <c r="A26" s="71">
        <v>4</v>
      </c>
      <c r="B26" s="75" t="s">
        <v>402</v>
      </c>
      <c r="C26" s="76" t="s">
        <v>399</v>
      </c>
      <c r="D26" s="75" t="s">
        <v>379</v>
      </c>
      <c r="E26" s="84">
        <v>122</v>
      </c>
      <c r="F26" s="76">
        <v>191300</v>
      </c>
      <c r="G26" s="76">
        <f t="shared" si="0"/>
        <v>23338600</v>
      </c>
    </row>
    <row r="27" spans="1:7">
      <c r="A27" s="71">
        <v>5</v>
      </c>
      <c r="B27" s="75" t="s">
        <v>403</v>
      </c>
      <c r="C27" s="76" t="s">
        <v>399</v>
      </c>
      <c r="D27" s="75" t="s">
        <v>382</v>
      </c>
      <c r="E27" s="84">
        <v>29</v>
      </c>
      <c r="F27" s="76">
        <v>174600</v>
      </c>
      <c r="G27" s="76">
        <f t="shared" si="0"/>
        <v>5063400</v>
      </c>
    </row>
    <row r="28" spans="1:7">
      <c r="A28" s="71">
        <v>6</v>
      </c>
      <c r="B28" s="75" t="s">
        <v>404</v>
      </c>
      <c r="C28" s="76" t="s">
        <v>399</v>
      </c>
      <c r="D28" s="75" t="s">
        <v>382</v>
      </c>
      <c r="E28" s="84">
        <v>20</v>
      </c>
      <c r="F28" s="76">
        <v>174600</v>
      </c>
      <c r="G28" s="76">
        <f t="shared" si="0"/>
        <v>3492000</v>
      </c>
    </row>
    <row r="29" spans="1:7">
      <c r="A29" s="71">
        <v>7</v>
      </c>
      <c r="B29" s="75" t="s">
        <v>405</v>
      </c>
      <c r="C29" s="76" t="s">
        <v>399</v>
      </c>
      <c r="D29" s="75" t="s">
        <v>382</v>
      </c>
      <c r="E29" s="84">
        <v>22</v>
      </c>
      <c r="F29" s="76">
        <v>174600</v>
      </c>
      <c r="G29" s="76">
        <f t="shared" si="0"/>
        <v>3841200</v>
      </c>
    </row>
    <row r="30" spans="1:7">
      <c r="A30" s="71">
        <v>8</v>
      </c>
      <c r="B30" s="75" t="s">
        <v>406</v>
      </c>
      <c r="C30" s="76" t="s">
        <v>399</v>
      </c>
      <c r="D30" s="75" t="s">
        <v>382</v>
      </c>
      <c r="E30" s="84">
        <v>27</v>
      </c>
      <c r="F30" s="76">
        <v>174600</v>
      </c>
      <c r="G30" s="76">
        <f t="shared" si="0"/>
        <v>4714200</v>
      </c>
    </row>
    <row r="31" spans="1:7">
      <c r="A31" s="71">
        <v>9</v>
      </c>
      <c r="B31" s="75" t="s">
        <v>407</v>
      </c>
      <c r="C31" s="76" t="s">
        <v>399</v>
      </c>
      <c r="D31" s="75" t="s">
        <v>382</v>
      </c>
      <c r="E31" s="84">
        <v>51</v>
      </c>
      <c r="F31" s="76">
        <v>174600</v>
      </c>
      <c r="G31" s="76">
        <f t="shared" si="0"/>
        <v>8904600</v>
      </c>
    </row>
    <row r="32" spans="1:7">
      <c r="A32" s="71">
        <v>10</v>
      </c>
      <c r="B32" s="75" t="s">
        <v>408</v>
      </c>
      <c r="C32" s="76" t="s">
        <v>399</v>
      </c>
      <c r="D32" s="75" t="s">
        <v>382</v>
      </c>
      <c r="E32" s="84">
        <v>25</v>
      </c>
      <c r="F32" s="76">
        <v>174600</v>
      </c>
      <c r="G32" s="76">
        <f t="shared" si="0"/>
        <v>4365000</v>
      </c>
    </row>
    <row r="33" spans="1:7">
      <c r="A33" s="71">
        <v>11</v>
      </c>
      <c r="B33" s="75" t="s">
        <v>409</v>
      </c>
      <c r="C33" s="76" t="s">
        <v>399</v>
      </c>
      <c r="D33" s="75" t="s">
        <v>382</v>
      </c>
      <c r="E33" s="84">
        <v>21</v>
      </c>
      <c r="F33" s="76">
        <v>174600</v>
      </c>
      <c r="G33" s="76">
        <f t="shared" si="0"/>
        <v>3666600</v>
      </c>
    </row>
    <row r="34" spans="1:7">
      <c r="A34" s="71">
        <v>12</v>
      </c>
      <c r="B34" s="75" t="s">
        <v>410</v>
      </c>
      <c r="C34" s="76" t="s">
        <v>399</v>
      </c>
      <c r="D34" s="75" t="s">
        <v>275</v>
      </c>
      <c r="E34" s="84">
        <v>8</v>
      </c>
      <c r="F34" s="76">
        <v>185700</v>
      </c>
      <c r="G34" s="76">
        <f t="shared" si="0"/>
        <v>1485600</v>
      </c>
    </row>
    <row r="35" spans="1:7">
      <c r="A35" s="71"/>
      <c r="B35" s="75"/>
      <c r="C35" s="78" t="s">
        <v>411</v>
      </c>
      <c r="D35" s="75"/>
      <c r="E35" s="84">
        <f>SUM(E23:E34)</f>
        <v>662</v>
      </c>
      <c r="F35" s="84"/>
      <c r="G35" s="84">
        <f t="shared" ref="G35" si="3">SUM(G23:G34)</f>
        <v>123339300</v>
      </c>
    </row>
    <row r="36" spans="1:7">
      <c r="A36" s="71">
        <v>1</v>
      </c>
      <c r="B36" s="75" t="s">
        <v>306</v>
      </c>
      <c r="C36" s="76" t="s">
        <v>412</v>
      </c>
      <c r="D36" s="75" t="s">
        <v>374</v>
      </c>
      <c r="E36" s="84">
        <v>62</v>
      </c>
      <c r="F36" s="76">
        <v>191300</v>
      </c>
      <c r="G36" s="76">
        <f t="shared" si="0"/>
        <v>11860600</v>
      </c>
    </row>
    <row r="37" spans="1:7">
      <c r="A37" s="71">
        <v>2</v>
      </c>
      <c r="B37" s="75" t="s">
        <v>413</v>
      </c>
      <c r="C37" s="76" t="s">
        <v>412</v>
      </c>
      <c r="D37" s="75" t="s">
        <v>374</v>
      </c>
      <c r="E37" s="84">
        <v>65</v>
      </c>
      <c r="F37" s="76">
        <v>191300</v>
      </c>
      <c r="G37" s="76">
        <f t="shared" si="0"/>
        <v>12434500</v>
      </c>
    </row>
    <row r="38" spans="1:7">
      <c r="A38" s="71">
        <v>3</v>
      </c>
      <c r="B38" s="75" t="s">
        <v>414</v>
      </c>
      <c r="C38" s="76" t="s">
        <v>412</v>
      </c>
      <c r="D38" s="75" t="s">
        <v>374</v>
      </c>
      <c r="E38" s="84">
        <v>72</v>
      </c>
      <c r="F38" s="76">
        <v>191300</v>
      </c>
      <c r="G38" s="76">
        <f t="shared" si="0"/>
        <v>13773600</v>
      </c>
    </row>
    <row r="39" spans="1:7">
      <c r="A39" s="71">
        <v>4</v>
      </c>
      <c r="B39" s="75" t="s">
        <v>308</v>
      </c>
      <c r="C39" s="76" t="s">
        <v>412</v>
      </c>
      <c r="D39" s="75" t="s">
        <v>374</v>
      </c>
      <c r="E39" s="84">
        <v>80</v>
      </c>
      <c r="F39" s="76">
        <v>191300</v>
      </c>
      <c r="G39" s="76">
        <f t="shared" si="0"/>
        <v>15304000</v>
      </c>
    </row>
    <row r="40" spans="1:7">
      <c r="A40" s="71">
        <v>5</v>
      </c>
      <c r="B40" s="75" t="s">
        <v>309</v>
      </c>
      <c r="C40" s="76" t="s">
        <v>412</v>
      </c>
      <c r="D40" s="75" t="s">
        <v>379</v>
      </c>
      <c r="E40" s="84">
        <v>75</v>
      </c>
      <c r="F40" s="76">
        <v>191300</v>
      </c>
      <c r="G40" s="76">
        <f t="shared" si="0"/>
        <v>14347500</v>
      </c>
    </row>
    <row r="41" spans="1:7">
      <c r="A41" s="71">
        <v>6</v>
      </c>
      <c r="B41" s="75" t="s">
        <v>311</v>
      </c>
      <c r="C41" s="76" t="s">
        <v>412</v>
      </c>
      <c r="D41" s="75" t="s">
        <v>379</v>
      </c>
      <c r="E41" s="84">
        <v>64</v>
      </c>
      <c r="F41" s="76">
        <v>191300</v>
      </c>
      <c r="G41" s="76">
        <f t="shared" si="0"/>
        <v>12243200</v>
      </c>
    </row>
    <row r="42" spans="1:7">
      <c r="A42" s="71">
        <v>7</v>
      </c>
      <c r="B42" s="75" t="s">
        <v>312</v>
      </c>
      <c r="C42" s="76" t="s">
        <v>412</v>
      </c>
      <c r="D42" s="75" t="s">
        <v>379</v>
      </c>
      <c r="E42" s="84">
        <v>116</v>
      </c>
      <c r="F42" s="76">
        <v>191300</v>
      </c>
      <c r="G42" s="76">
        <f t="shared" si="0"/>
        <v>22190800</v>
      </c>
    </row>
    <row r="43" spans="1:7">
      <c r="A43" s="71">
        <v>8</v>
      </c>
      <c r="B43" s="75" t="s">
        <v>310</v>
      </c>
      <c r="C43" s="76" t="s">
        <v>412</v>
      </c>
      <c r="D43" s="75" t="s">
        <v>379</v>
      </c>
      <c r="E43" s="84">
        <v>81</v>
      </c>
      <c r="F43" s="76">
        <v>191300</v>
      </c>
      <c r="G43" s="76">
        <f t="shared" si="0"/>
        <v>15495300</v>
      </c>
    </row>
    <row r="44" spans="1:7">
      <c r="A44" s="71">
        <v>9</v>
      </c>
      <c r="B44" s="75" t="s">
        <v>313</v>
      </c>
      <c r="C44" s="76" t="s">
        <v>412</v>
      </c>
      <c r="D44" s="75" t="s">
        <v>382</v>
      </c>
      <c r="E44" s="84">
        <v>59</v>
      </c>
      <c r="F44" s="76">
        <v>174600</v>
      </c>
      <c r="G44" s="76">
        <f t="shared" si="0"/>
        <v>10301400</v>
      </c>
    </row>
    <row r="45" spans="1:7">
      <c r="A45" s="71">
        <v>10</v>
      </c>
      <c r="B45" s="75" t="s">
        <v>314</v>
      </c>
      <c r="C45" s="76" t="s">
        <v>412</v>
      </c>
      <c r="D45" s="75" t="s">
        <v>382</v>
      </c>
      <c r="E45" s="84">
        <v>45</v>
      </c>
      <c r="F45" s="76">
        <v>174600</v>
      </c>
      <c r="G45" s="76">
        <f t="shared" si="0"/>
        <v>7857000</v>
      </c>
    </row>
    <row r="46" spans="1:7">
      <c r="A46" s="71">
        <v>11</v>
      </c>
      <c r="B46" s="75" t="s">
        <v>315</v>
      </c>
      <c r="C46" s="76" t="s">
        <v>412</v>
      </c>
      <c r="D46" s="75" t="s">
        <v>382</v>
      </c>
      <c r="E46" s="84">
        <v>69</v>
      </c>
      <c r="F46" s="76">
        <v>174600</v>
      </c>
      <c r="G46" s="76">
        <f t="shared" si="0"/>
        <v>12047400</v>
      </c>
    </row>
    <row r="47" spans="1:7">
      <c r="A47" s="71">
        <v>12</v>
      </c>
      <c r="B47" s="75" t="s">
        <v>320</v>
      </c>
      <c r="C47" s="76" t="s">
        <v>412</v>
      </c>
      <c r="D47" s="75" t="s">
        <v>382</v>
      </c>
      <c r="E47" s="84">
        <v>16</v>
      </c>
      <c r="F47" s="76">
        <v>174600</v>
      </c>
      <c r="G47" s="76">
        <f t="shared" si="0"/>
        <v>2793600</v>
      </c>
    </row>
    <row r="48" spans="1:7">
      <c r="A48" s="71">
        <v>13</v>
      </c>
      <c r="B48" s="75" t="s">
        <v>317</v>
      </c>
      <c r="C48" s="76" t="s">
        <v>412</v>
      </c>
      <c r="D48" s="75" t="s">
        <v>382</v>
      </c>
      <c r="E48" s="84">
        <v>50</v>
      </c>
      <c r="F48" s="76">
        <v>174600</v>
      </c>
      <c r="G48" s="76">
        <f t="shared" si="0"/>
        <v>8730000</v>
      </c>
    </row>
    <row r="49" spans="1:7">
      <c r="A49" s="71">
        <v>14</v>
      </c>
      <c r="B49" s="75" t="s">
        <v>316</v>
      </c>
      <c r="C49" s="76" t="s">
        <v>412</v>
      </c>
      <c r="D49" s="75" t="s">
        <v>382</v>
      </c>
      <c r="E49" s="84">
        <v>21</v>
      </c>
      <c r="F49" s="76">
        <v>174600</v>
      </c>
      <c r="G49" s="76">
        <f t="shared" si="0"/>
        <v>3666600</v>
      </c>
    </row>
    <row r="50" spans="1:7">
      <c r="A50" s="71">
        <v>15</v>
      </c>
      <c r="B50" s="75" t="s">
        <v>318</v>
      </c>
      <c r="C50" s="76" t="s">
        <v>412</v>
      </c>
      <c r="D50" s="75" t="s">
        <v>382</v>
      </c>
      <c r="E50" s="84">
        <v>25</v>
      </c>
      <c r="F50" s="76">
        <v>174600</v>
      </c>
      <c r="G50" s="76">
        <f t="shared" si="0"/>
        <v>4365000</v>
      </c>
    </row>
    <row r="51" spans="1:7">
      <c r="A51" s="71">
        <v>16</v>
      </c>
      <c r="B51" s="75" t="s">
        <v>319</v>
      </c>
      <c r="C51" s="76" t="s">
        <v>412</v>
      </c>
      <c r="D51" s="75" t="s">
        <v>382</v>
      </c>
      <c r="E51" s="84">
        <v>40</v>
      </c>
      <c r="F51" s="76">
        <v>174600</v>
      </c>
      <c r="G51" s="76">
        <f t="shared" si="0"/>
        <v>6984000</v>
      </c>
    </row>
    <row r="52" spans="1:7">
      <c r="A52" s="71">
        <v>17</v>
      </c>
      <c r="B52" s="75" t="s">
        <v>415</v>
      </c>
      <c r="C52" s="76" t="s">
        <v>412</v>
      </c>
      <c r="D52" s="75" t="s">
        <v>382</v>
      </c>
      <c r="E52" s="84">
        <v>5</v>
      </c>
      <c r="F52" s="76">
        <v>174600</v>
      </c>
      <c r="G52" s="76">
        <f t="shared" si="0"/>
        <v>873000</v>
      </c>
    </row>
    <row r="53" spans="1:7">
      <c r="A53" s="71">
        <v>18</v>
      </c>
      <c r="B53" s="75" t="s">
        <v>322</v>
      </c>
      <c r="C53" s="76" t="s">
        <v>412</v>
      </c>
      <c r="D53" s="75" t="s">
        <v>275</v>
      </c>
      <c r="E53" s="84">
        <v>4</v>
      </c>
      <c r="F53" s="76">
        <v>185700</v>
      </c>
      <c r="G53" s="76">
        <f t="shared" si="0"/>
        <v>742800</v>
      </c>
    </row>
    <row r="54" spans="1:7">
      <c r="A54" s="71"/>
      <c r="B54" s="75"/>
      <c r="C54" s="78" t="s">
        <v>416</v>
      </c>
      <c r="D54" s="75"/>
      <c r="E54" s="84">
        <f>SUM(E36:E53)</f>
        <v>949</v>
      </c>
      <c r="F54" s="84"/>
      <c r="G54" s="84">
        <f t="shared" ref="G54" si="4">SUM(G36:G53)</f>
        <v>176010300</v>
      </c>
    </row>
    <row r="55" spans="1:7">
      <c r="A55" s="71">
        <v>1</v>
      </c>
      <c r="B55" s="75" t="s">
        <v>417</v>
      </c>
      <c r="C55" s="76" t="s">
        <v>418</v>
      </c>
      <c r="D55" s="75" t="s">
        <v>374</v>
      </c>
      <c r="E55" s="84">
        <v>85</v>
      </c>
      <c r="F55" s="76">
        <v>191300</v>
      </c>
      <c r="G55" s="76">
        <f t="shared" si="0"/>
        <v>16260500</v>
      </c>
    </row>
    <row r="56" spans="1:7">
      <c r="A56" s="71">
        <v>2</v>
      </c>
      <c r="B56" s="75" t="s">
        <v>419</v>
      </c>
      <c r="C56" s="76" t="s">
        <v>418</v>
      </c>
      <c r="D56" s="75" t="s">
        <v>374</v>
      </c>
      <c r="E56" s="84">
        <v>84</v>
      </c>
      <c r="F56" s="76">
        <v>191300</v>
      </c>
      <c r="G56" s="76">
        <f t="shared" si="0"/>
        <v>16069200</v>
      </c>
    </row>
    <row r="57" spans="1:7">
      <c r="A57" s="71">
        <v>3</v>
      </c>
      <c r="B57" s="75" t="s">
        <v>420</v>
      </c>
      <c r="C57" s="76" t="s">
        <v>418</v>
      </c>
      <c r="D57" s="75" t="s">
        <v>374</v>
      </c>
      <c r="E57" s="84">
        <v>74</v>
      </c>
      <c r="F57" s="76">
        <v>191300</v>
      </c>
      <c r="G57" s="76">
        <f t="shared" si="0"/>
        <v>14156200</v>
      </c>
    </row>
    <row r="58" spans="1:7">
      <c r="A58" s="71">
        <v>4</v>
      </c>
      <c r="B58" s="75" t="s">
        <v>421</v>
      </c>
      <c r="C58" s="76" t="s">
        <v>418</v>
      </c>
      <c r="D58" s="75" t="s">
        <v>377</v>
      </c>
      <c r="E58" s="84">
        <v>60</v>
      </c>
      <c r="F58" s="76">
        <v>191300</v>
      </c>
      <c r="G58" s="76">
        <f t="shared" si="0"/>
        <v>11478000</v>
      </c>
    </row>
    <row r="59" spans="1:7">
      <c r="A59" s="71">
        <v>5</v>
      </c>
      <c r="B59" s="75" t="s">
        <v>422</v>
      </c>
      <c r="C59" s="76" t="s">
        <v>418</v>
      </c>
      <c r="D59" s="75" t="s">
        <v>379</v>
      </c>
      <c r="E59" s="84">
        <v>99</v>
      </c>
      <c r="F59" s="76">
        <v>191300</v>
      </c>
      <c r="G59" s="76">
        <f t="shared" si="0"/>
        <v>18938700</v>
      </c>
    </row>
    <row r="60" spans="1:7">
      <c r="A60" s="71">
        <v>6</v>
      </c>
      <c r="B60" s="75" t="s">
        <v>423</v>
      </c>
      <c r="C60" s="76" t="s">
        <v>418</v>
      </c>
      <c r="D60" s="75" t="s">
        <v>379</v>
      </c>
      <c r="E60" s="84">
        <v>81</v>
      </c>
      <c r="F60" s="76">
        <v>191300</v>
      </c>
      <c r="G60" s="76">
        <f t="shared" si="0"/>
        <v>15495300</v>
      </c>
    </row>
    <row r="61" spans="1:7">
      <c r="A61" s="71">
        <v>7</v>
      </c>
      <c r="B61" s="75" t="s">
        <v>424</v>
      </c>
      <c r="C61" s="76" t="s">
        <v>418</v>
      </c>
      <c r="D61" s="75" t="s">
        <v>379</v>
      </c>
      <c r="E61" s="84">
        <v>92</v>
      </c>
      <c r="F61" s="76">
        <v>191300</v>
      </c>
      <c r="G61" s="76">
        <f t="shared" si="0"/>
        <v>17599600</v>
      </c>
    </row>
    <row r="62" spans="1:7">
      <c r="A62" s="71">
        <v>8</v>
      </c>
      <c r="B62" s="75" t="s">
        <v>425</v>
      </c>
      <c r="C62" s="76" t="s">
        <v>418</v>
      </c>
      <c r="D62" s="75" t="s">
        <v>379</v>
      </c>
      <c r="E62" s="84">
        <v>48</v>
      </c>
      <c r="F62" s="76">
        <v>191300</v>
      </c>
      <c r="G62" s="76">
        <f t="shared" si="0"/>
        <v>9182400</v>
      </c>
    </row>
    <row r="63" spans="1:7">
      <c r="A63" s="71">
        <v>9</v>
      </c>
      <c r="B63" s="75" t="s">
        <v>426</v>
      </c>
      <c r="C63" s="76" t="s">
        <v>418</v>
      </c>
      <c r="D63" s="75" t="s">
        <v>379</v>
      </c>
      <c r="E63" s="84">
        <v>61</v>
      </c>
      <c r="F63" s="76">
        <v>191300</v>
      </c>
      <c r="G63" s="76">
        <f t="shared" si="0"/>
        <v>11669300</v>
      </c>
    </row>
    <row r="64" spans="1:7">
      <c r="A64" s="71">
        <v>10</v>
      </c>
      <c r="B64" s="75" t="s">
        <v>427</v>
      </c>
      <c r="C64" s="76" t="s">
        <v>418</v>
      </c>
      <c r="D64" s="75" t="s">
        <v>382</v>
      </c>
      <c r="E64" s="84">
        <v>58</v>
      </c>
      <c r="F64" s="76">
        <v>174600</v>
      </c>
      <c r="G64" s="76">
        <f t="shared" si="0"/>
        <v>10126800</v>
      </c>
    </row>
    <row r="65" spans="1:7">
      <c r="A65" s="71">
        <v>11</v>
      </c>
      <c r="B65" s="75" t="s">
        <v>428</v>
      </c>
      <c r="C65" s="76" t="s">
        <v>418</v>
      </c>
      <c r="D65" s="75" t="s">
        <v>382</v>
      </c>
      <c r="E65" s="84">
        <v>61</v>
      </c>
      <c r="F65" s="76">
        <v>174600</v>
      </c>
      <c r="G65" s="76">
        <f t="shared" si="0"/>
        <v>10650600</v>
      </c>
    </row>
    <row r="66" spans="1:7">
      <c r="A66" s="71">
        <v>12</v>
      </c>
      <c r="B66" s="75" t="s">
        <v>429</v>
      </c>
      <c r="C66" s="76" t="s">
        <v>418</v>
      </c>
      <c r="D66" s="75" t="s">
        <v>382</v>
      </c>
      <c r="E66" s="84">
        <v>17</v>
      </c>
      <c r="F66" s="76">
        <v>174600</v>
      </c>
      <c r="G66" s="76">
        <f t="shared" si="0"/>
        <v>2968200</v>
      </c>
    </row>
    <row r="67" spans="1:7">
      <c r="A67" s="71">
        <v>13</v>
      </c>
      <c r="B67" s="75" t="s">
        <v>430</v>
      </c>
      <c r="C67" s="76" t="s">
        <v>418</v>
      </c>
      <c r="D67" s="75" t="s">
        <v>382</v>
      </c>
      <c r="E67" s="84">
        <v>55</v>
      </c>
      <c r="F67" s="76">
        <v>174600</v>
      </c>
      <c r="G67" s="76">
        <f t="shared" si="0"/>
        <v>9603000</v>
      </c>
    </row>
    <row r="68" spans="1:7">
      <c r="A68" s="71">
        <v>14</v>
      </c>
      <c r="B68" s="75" t="s">
        <v>431</v>
      </c>
      <c r="C68" s="76" t="s">
        <v>418</v>
      </c>
      <c r="D68" s="75" t="s">
        <v>382</v>
      </c>
      <c r="E68" s="84">
        <v>36</v>
      </c>
      <c r="F68" s="76">
        <v>174600</v>
      </c>
      <c r="G68" s="76">
        <f t="shared" ref="G68:G124" si="5">E68*F68</f>
        <v>6285600</v>
      </c>
    </row>
    <row r="69" spans="1:7">
      <c r="A69" s="71">
        <v>15</v>
      </c>
      <c r="B69" s="75" t="s">
        <v>432</v>
      </c>
      <c r="C69" s="76" t="s">
        <v>418</v>
      </c>
      <c r="D69" s="75" t="s">
        <v>382</v>
      </c>
      <c r="E69" s="84">
        <v>23</v>
      </c>
      <c r="F69" s="76">
        <v>174600</v>
      </c>
      <c r="G69" s="76">
        <f t="shared" si="5"/>
        <v>4015800</v>
      </c>
    </row>
    <row r="70" spans="1:7">
      <c r="A70" s="71">
        <v>16</v>
      </c>
      <c r="B70" s="75" t="s">
        <v>433</v>
      </c>
      <c r="C70" s="76" t="s">
        <v>418</v>
      </c>
      <c r="D70" s="75" t="s">
        <v>382</v>
      </c>
      <c r="E70" s="84">
        <v>38</v>
      </c>
      <c r="F70" s="76">
        <v>174600</v>
      </c>
      <c r="G70" s="76">
        <f t="shared" si="5"/>
        <v>6634800</v>
      </c>
    </row>
    <row r="71" spans="1:7">
      <c r="A71" s="71">
        <v>17</v>
      </c>
      <c r="B71" s="75" t="s">
        <v>434</v>
      </c>
      <c r="C71" s="76" t="s">
        <v>418</v>
      </c>
      <c r="D71" s="75" t="s">
        <v>382</v>
      </c>
      <c r="E71" s="84">
        <v>23</v>
      </c>
      <c r="F71" s="76">
        <v>174600</v>
      </c>
      <c r="G71" s="76">
        <f t="shared" si="5"/>
        <v>4015800</v>
      </c>
    </row>
    <row r="72" spans="1:7">
      <c r="A72" s="71">
        <v>18</v>
      </c>
      <c r="B72" s="75" t="s">
        <v>435</v>
      </c>
      <c r="C72" s="76" t="s">
        <v>418</v>
      </c>
      <c r="D72" s="75" t="s">
        <v>377</v>
      </c>
      <c r="E72" s="84">
        <v>11</v>
      </c>
      <c r="F72" s="76">
        <v>191300</v>
      </c>
      <c r="G72" s="76">
        <f t="shared" si="5"/>
        <v>2104300</v>
      </c>
    </row>
    <row r="73" spans="1:7">
      <c r="A73" s="71">
        <v>19</v>
      </c>
      <c r="B73" s="75" t="s">
        <v>436</v>
      </c>
      <c r="C73" s="76" t="s">
        <v>418</v>
      </c>
      <c r="D73" s="75" t="s">
        <v>275</v>
      </c>
      <c r="E73" s="84">
        <v>6</v>
      </c>
      <c r="F73" s="76">
        <v>185700</v>
      </c>
      <c r="G73" s="76">
        <f t="shared" si="5"/>
        <v>1114200</v>
      </c>
    </row>
    <row r="74" spans="1:7">
      <c r="A74" s="71"/>
      <c r="B74" s="75"/>
      <c r="C74" s="78" t="s">
        <v>437</v>
      </c>
      <c r="D74" s="75"/>
      <c r="E74" s="84">
        <f>SUM(E55:E73)</f>
        <v>1012</v>
      </c>
      <c r="F74" s="84"/>
      <c r="G74" s="84">
        <f t="shared" ref="G74" si="6">SUM(G55:G73)</f>
        <v>188368300</v>
      </c>
    </row>
    <row r="75" spans="1:7">
      <c r="A75" s="71">
        <v>1</v>
      </c>
      <c r="B75" s="75" t="s">
        <v>438</v>
      </c>
      <c r="C75" s="76" t="s">
        <v>439</v>
      </c>
      <c r="D75" s="75" t="s">
        <v>374</v>
      </c>
      <c r="E75" s="83">
        <v>78</v>
      </c>
      <c r="F75" s="76">
        <v>191300</v>
      </c>
      <c r="G75" s="76">
        <f t="shared" si="5"/>
        <v>14921400</v>
      </c>
    </row>
    <row r="76" spans="1:7">
      <c r="A76" s="71">
        <v>2</v>
      </c>
      <c r="B76" s="75" t="s">
        <v>440</v>
      </c>
      <c r="C76" s="76" t="s">
        <v>439</v>
      </c>
      <c r="D76" s="75" t="s">
        <v>377</v>
      </c>
      <c r="E76" s="83">
        <v>44</v>
      </c>
      <c r="F76" s="76">
        <v>191300</v>
      </c>
      <c r="G76" s="76">
        <f t="shared" si="5"/>
        <v>8417200</v>
      </c>
    </row>
    <row r="77" spans="1:7">
      <c r="A77" s="71">
        <v>3</v>
      </c>
      <c r="B77" s="75" t="s">
        <v>441</v>
      </c>
      <c r="C77" s="76" t="s">
        <v>439</v>
      </c>
      <c r="D77" s="75" t="s">
        <v>374</v>
      </c>
      <c r="E77" s="83">
        <v>279</v>
      </c>
      <c r="F77" s="76">
        <v>191300</v>
      </c>
      <c r="G77" s="76">
        <f t="shared" si="5"/>
        <v>53372700</v>
      </c>
    </row>
    <row r="78" spans="1:7">
      <c r="A78" s="71">
        <v>4</v>
      </c>
      <c r="B78" s="75" t="s">
        <v>442</v>
      </c>
      <c r="C78" s="76" t="s">
        <v>439</v>
      </c>
      <c r="D78" s="75" t="s">
        <v>374</v>
      </c>
      <c r="E78" s="83">
        <v>96</v>
      </c>
      <c r="F78" s="76">
        <v>191300</v>
      </c>
      <c r="G78" s="76">
        <f t="shared" si="5"/>
        <v>18364800</v>
      </c>
    </row>
    <row r="79" spans="1:7">
      <c r="A79" s="71">
        <v>5</v>
      </c>
      <c r="B79" s="75" t="s">
        <v>443</v>
      </c>
      <c r="C79" s="76" t="s">
        <v>439</v>
      </c>
      <c r="D79" s="75" t="s">
        <v>374</v>
      </c>
      <c r="E79" s="83">
        <v>99</v>
      </c>
      <c r="F79" s="76">
        <v>191300</v>
      </c>
      <c r="G79" s="76">
        <f t="shared" si="5"/>
        <v>18938700</v>
      </c>
    </row>
    <row r="80" spans="1:7">
      <c r="A80" s="71">
        <v>6</v>
      </c>
      <c r="B80" s="75" t="s">
        <v>444</v>
      </c>
      <c r="C80" s="76" t="s">
        <v>439</v>
      </c>
      <c r="D80" s="75" t="s">
        <v>379</v>
      </c>
      <c r="E80" s="83">
        <v>60</v>
      </c>
      <c r="F80" s="76">
        <v>191300</v>
      </c>
      <c r="G80" s="76">
        <f t="shared" si="5"/>
        <v>11478000</v>
      </c>
    </row>
    <row r="81" spans="1:7">
      <c r="A81" s="71">
        <v>7</v>
      </c>
      <c r="B81" s="75" t="s">
        <v>445</v>
      </c>
      <c r="C81" s="76" t="s">
        <v>439</v>
      </c>
      <c r="D81" s="75" t="s">
        <v>379</v>
      </c>
      <c r="E81" s="83">
        <v>343</v>
      </c>
      <c r="F81" s="76">
        <v>191300</v>
      </c>
      <c r="G81" s="76">
        <f t="shared" si="5"/>
        <v>65615900</v>
      </c>
    </row>
    <row r="82" spans="1:7">
      <c r="A82" s="71">
        <v>8</v>
      </c>
      <c r="B82" s="75" t="s">
        <v>446</v>
      </c>
      <c r="C82" s="76" t="s">
        <v>439</v>
      </c>
      <c r="D82" s="75" t="s">
        <v>379</v>
      </c>
      <c r="E82" s="83">
        <v>62</v>
      </c>
      <c r="F82" s="76">
        <v>191300</v>
      </c>
      <c r="G82" s="76">
        <f t="shared" si="5"/>
        <v>11860600</v>
      </c>
    </row>
    <row r="83" spans="1:7">
      <c r="A83" s="71">
        <v>9</v>
      </c>
      <c r="B83" s="75" t="s">
        <v>447</v>
      </c>
      <c r="C83" s="76" t="s">
        <v>439</v>
      </c>
      <c r="D83" s="75" t="s">
        <v>379</v>
      </c>
      <c r="E83" s="83">
        <v>138</v>
      </c>
      <c r="F83" s="76">
        <v>191300</v>
      </c>
      <c r="G83" s="76">
        <f t="shared" si="5"/>
        <v>26399400</v>
      </c>
    </row>
    <row r="84" spans="1:7">
      <c r="A84" s="71">
        <v>10</v>
      </c>
      <c r="B84" s="75" t="s">
        <v>448</v>
      </c>
      <c r="C84" s="76" t="s">
        <v>439</v>
      </c>
      <c r="D84" s="75" t="s">
        <v>379</v>
      </c>
      <c r="E84" s="83">
        <v>124</v>
      </c>
      <c r="F84" s="76">
        <v>191300</v>
      </c>
      <c r="G84" s="76">
        <f t="shared" si="5"/>
        <v>23721200</v>
      </c>
    </row>
    <row r="85" spans="1:7">
      <c r="A85" s="71">
        <v>11</v>
      </c>
      <c r="B85" s="75" t="s">
        <v>449</v>
      </c>
      <c r="C85" s="76" t="s">
        <v>439</v>
      </c>
      <c r="D85" s="75" t="s">
        <v>382</v>
      </c>
      <c r="E85" s="83">
        <v>43</v>
      </c>
      <c r="F85" s="76">
        <v>174600</v>
      </c>
      <c r="G85" s="76">
        <f t="shared" si="5"/>
        <v>7507800</v>
      </c>
    </row>
    <row r="86" spans="1:7">
      <c r="A86" s="71">
        <v>12</v>
      </c>
      <c r="B86" s="75" t="s">
        <v>450</v>
      </c>
      <c r="C86" s="76" t="s">
        <v>439</v>
      </c>
      <c r="D86" s="75" t="s">
        <v>382</v>
      </c>
      <c r="E86" s="83">
        <v>98</v>
      </c>
      <c r="F86" s="76">
        <v>174600</v>
      </c>
      <c r="G86" s="76">
        <f t="shared" si="5"/>
        <v>17110800</v>
      </c>
    </row>
    <row r="87" spans="1:7">
      <c r="A87" s="71">
        <v>13</v>
      </c>
      <c r="B87" s="75" t="s">
        <v>451</v>
      </c>
      <c r="C87" s="76" t="s">
        <v>439</v>
      </c>
      <c r="D87" s="75" t="s">
        <v>382</v>
      </c>
      <c r="E87" s="83">
        <v>45</v>
      </c>
      <c r="F87" s="76">
        <v>174600</v>
      </c>
      <c r="G87" s="76">
        <f t="shared" si="5"/>
        <v>7857000</v>
      </c>
    </row>
    <row r="88" spans="1:7">
      <c r="A88" s="71">
        <v>14</v>
      </c>
      <c r="B88" s="75" t="s">
        <v>452</v>
      </c>
      <c r="C88" s="76" t="s">
        <v>439</v>
      </c>
      <c r="D88" s="75" t="s">
        <v>382</v>
      </c>
      <c r="E88" s="83">
        <v>48</v>
      </c>
      <c r="F88" s="76">
        <v>174600</v>
      </c>
      <c r="G88" s="76">
        <f t="shared" si="5"/>
        <v>8380800</v>
      </c>
    </row>
    <row r="89" spans="1:7">
      <c r="A89" s="71">
        <v>15</v>
      </c>
      <c r="B89" s="75" t="s">
        <v>453</v>
      </c>
      <c r="C89" s="76" t="s">
        <v>439</v>
      </c>
      <c r="D89" s="75" t="s">
        <v>382</v>
      </c>
      <c r="E89" s="83">
        <v>21</v>
      </c>
      <c r="F89" s="76">
        <v>174600</v>
      </c>
      <c r="G89" s="76">
        <f t="shared" si="5"/>
        <v>3666600</v>
      </c>
    </row>
    <row r="90" spans="1:7">
      <c r="A90" s="71">
        <v>16</v>
      </c>
      <c r="B90" s="75" t="s">
        <v>454</v>
      </c>
      <c r="C90" s="76" t="s">
        <v>439</v>
      </c>
      <c r="D90" s="75" t="s">
        <v>382</v>
      </c>
      <c r="E90" s="83">
        <v>29</v>
      </c>
      <c r="F90" s="76">
        <v>174600</v>
      </c>
      <c r="G90" s="76">
        <f t="shared" si="5"/>
        <v>5063400</v>
      </c>
    </row>
    <row r="91" spans="1:7">
      <c r="A91" s="71">
        <v>17</v>
      </c>
      <c r="B91" s="75" t="s">
        <v>455</v>
      </c>
      <c r="C91" s="76" t="s">
        <v>439</v>
      </c>
      <c r="D91" s="75" t="s">
        <v>382</v>
      </c>
      <c r="E91" s="83">
        <v>16</v>
      </c>
      <c r="F91" s="76">
        <v>174600</v>
      </c>
      <c r="G91" s="76">
        <f t="shared" si="5"/>
        <v>2793600</v>
      </c>
    </row>
    <row r="92" spans="1:7">
      <c r="A92" s="71">
        <v>18</v>
      </c>
      <c r="B92" s="75" t="s">
        <v>456</v>
      </c>
      <c r="C92" s="76" t="s">
        <v>439</v>
      </c>
      <c r="D92" s="75" t="s">
        <v>382</v>
      </c>
      <c r="E92" s="83">
        <v>79</v>
      </c>
      <c r="F92" s="76">
        <v>174600</v>
      </c>
      <c r="G92" s="76">
        <f t="shared" si="5"/>
        <v>13793400</v>
      </c>
    </row>
    <row r="93" spans="1:7">
      <c r="A93" s="71">
        <v>19</v>
      </c>
      <c r="B93" s="75" t="s">
        <v>457</v>
      </c>
      <c r="C93" s="76" t="s">
        <v>439</v>
      </c>
      <c r="D93" s="75" t="s">
        <v>382</v>
      </c>
      <c r="E93" s="83">
        <v>6</v>
      </c>
      <c r="F93" s="76">
        <v>174600</v>
      </c>
      <c r="G93" s="76">
        <f t="shared" si="5"/>
        <v>1047600</v>
      </c>
    </row>
    <row r="94" spans="1:7">
      <c r="A94" s="71">
        <v>20</v>
      </c>
      <c r="B94" s="75" t="s">
        <v>458</v>
      </c>
      <c r="C94" s="76" t="s">
        <v>439</v>
      </c>
      <c r="D94" s="75" t="s">
        <v>275</v>
      </c>
      <c r="E94" s="83">
        <v>7</v>
      </c>
      <c r="F94" s="76">
        <v>185700</v>
      </c>
      <c r="G94" s="76">
        <f t="shared" si="5"/>
        <v>1299900</v>
      </c>
    </row>
    <row r="95" spans="1:7">
      <c r="A95" s="71"/>
      <c r="B95" s="75"/>
      <c r="C95" s="78" t="s">
        <v>459</v>
      </c>
      <c r="D95" s="75"/>
      <c r="E95" s="84">
        <f>SUM(E75:E94)</f>
        <v>1715</v>
      </c>
      <c r="F95" s="84"/>
      <c r="G95" s="84">
        <f t="shared" ref="G95" si="7">SUM(G75:G94)</f>
        <v>321610800</v>
      </c>
    </row>
    <row r="96" spans="1:7">
      <c r="A96" s="71">
        <v>1</v>
      </c>
      <c r="B96" s="75" t="s">
        <v>460</v>
      </c>
      <c r="C96" s="76" t="s">
        <v>461</v>
      </c>
      <c r="D96" s="75" t="s">
        <v>377</v>
      </c>
      <c r="E96" s="83">
        <v>121</v>
      </c>
      <c r="F96" s="76">
        <v>191300</v>
      </c>
      <c r="G96" s="76">
        <f t="shared" si="5"/>
        <v>23147300</v>
      </c>
    </row>
    <row r="97" spans="1:7">
      <c r="A97" s="71">
        <v>2</v>
      </c>
      <c r="B97" s="75" t="s">
        <v>462</v>
      </c>
      <c r="C97" s="76" t="s">
        <v>461</v>
      </c>
      <c r="D97" s="75" t="s">
        <v>382</v>
      </c>
      <c r="E97" s="83">
        <v>69</v>
      </c>
      <c r="F97" s="76">
        <v>174600</v>
      </c>
      <c r="G97" s="76">
        <f t="shared" si="5"/>
        <v>12047400</v>
      </c>
    </row>
    <row r="98" spans="1:7">
      <c r="A98" s="71">
        <v>3</v>
      </c>
      <c r="B98" s="75" t="s">
        <v>463</v>
      </c>
      <c r="C98" s="76" t="s">
        <v>461</v>
      </c>
      <c r="D98" s="75" t="s">
        <v>382</v>
      </c>
      <c r="E98" s="83">
        <v>47</v>
      </c>
      <c r="F98" s="76">
        <v>174600</v>
      </c>
      <c r="G98" s="76">
        <f t="shared" si="5"/>
        <v>8206200</v>
      </c>
    </row>
    <row r="99" spans="1:7">
      <c r="A99" s="71">
        <v>4</v>
      </c>
      <c r="B99" s="75" t="s">
        <v>464</v>
      </c>
      <c r="C99" s="76" t="s">
        <v>461</v>
      </c>
      <c r="D99" s="75" t="s">
        <v>382</v>
      </c>
      <c r="E99" s="83">
        <v>28</v>
      </c>
      <c r="F99" s="76">
        <v>174600</v>
      </c>
      <c r="G99" s="76">
        <f t="shared" si="5"/>
        <v>4888800</v>
      </c>
    </row>
    <row r="100" spans="1:7">
      <c r="A100" s="71">
        <v>5</v>
      </c>
      <c r="B100" s="75" t="s">
        <v>465</v>
      </c>
      <c r="C100" s="76" t="s">
        <v>461</v>
      </c>
      <c r="D100" s="75" t="s">
        <v>275</v>
      </c>
      <c r="E100" s="83">
        <v>6</v>
      </c>
      <c r="F100" s="76">
        <v>185700</v>
      </c>
      <c r="G100" s="76">
        <f t="shared" si="5"/>
        <v>1114200</v>
      </c>
    </row>
    <row r="101" spans="1:7">
      <c r="A101" s="71"/>
      <c r="B101" s="75"/>
      <c r="C101" s="78" t="s">
        <v>466</v>
      </c>
      <c r="D101" s="75"/>
      <c r="E101" s="84">
        <f>SUM(E96:E100)</f>
        <v>271</v>
      </c>
      <c r="F101" s="84"/>
      <c r="G101" s="84">
        <f t="shared" ref="G101" si="8">SUM(G96:G100)</f>
        <v>49403900</v>
      </c>
    </row>
    <row r="102" spans="1:7">
      <c r="A102" s="71">
        <v>1</v>
      </c>
      <c r="B102" s="75" t="s">
        <v>467</v>
      </c>
      <c r="C102" s="76" t="s">
        <v>468</v>
      </c>
      <c r="D102" s="75" t="s">
        <v>374</v>
      </c>
      <c r="E102" s="83">
        <v>80</v>
      </c>
      <c r="F102" s="76">
        <v>191300</v>
      </c>
      <c r="G102" s="76">
        <f t="shared" si="5"/>
        <v>15304000</v>
      </c>
    </row>
    <row r="103" spans="1:7">
      <c r="A103" s="71">
        <v>2</v>
      </c>
      <c r="B103" s="75" t="s">
        <v>329</v>
      </c>
      <c r="C103" s="76" t="s">
        <v>468</v>
      </c>
      <c r="D103" s="75" t="s">
        <v>379</v>
      </c>
      <c r="E103" s="83">
        <v>68</v>
      </c>
      <c r="F103" s="76">
        <v>191300</v>
      </c>
      <c r="G103" s="76">
        <f t="shared" si="5"/>
        <v>13008400</v>
      </c>
    </row>
    <row r="104" spans="1:7">
      <c r="A104" s="71">
        <v>3</v>
      </c>
      <c r="B104" s="75" t="s">
        <v>330</v>
      </c>
      <c r="C104" s="76" t="s">
        <v>468</v>
      </c>
      <c r="D104" s="75" t="s">
        <v>379</v>
      </c>
      <c r="E104" s="83">
        <v>32</v>
      </c>
      <c r="F104" s="76">
        <v>191300</v>
      </c>
      <c r="G104" s="76">
        <f t="shared" si="5"/>
        <v>6121600</v>
      </c>
    </row>
    <row r="105" spans="1:7">
      <c r="A105" s="71">
        <v>4</v>
      </c>
      <c r="B105" s="75" t="s">
        <v>331</v>
      </c>
      <c r="C105" s="76" t="s">
        <v>468</v>
      </c>
      <c r="D105" s="75" t="s">
        <v>382</v>
      </c>
      <c r="E105" s="83">
        <v>16</v>
      </c>
      <c r="F105" s="76">
        <v>174600</v>
      </c>
      <c r="G105" s="76">
        <f t="shared" si="5"/>
        <v>2793600</v>
      </c>
    </row>
    <row r="106" spans="1:7">
      <c r="A106" s="71">
        <v>5</v>
      </c>
      <c r="B106" s="75" t="s">
        <v>332</v>
      </c>
      <c r="C106" s="76" t="s">
        <v>468</v>
      </c>
      <c r="D106" s="75" t="s">
        <v>382</v>
      </c>
      <c r="E106" s="83">
        <v>33</v>
      </c>
      <c r="F106" s="76">
        <v>174600</v>
      </c>
      <c r="G106" s="76">
        <f t="shared" si="5"/>
        <v>5761800</v>
      </c>
    </row>
    <row r="107" spans="1:7">
      <c r="A107" s="71">
        <v>6</v>
      </c>
      <c r="B107" s="75" t="s">
        <v>333</v>
      </c>
      <c r="C107" s="76" t="s">
        <v>468</v>
      </c>
      <c r="D107" s="75" t="s">
        <v>382</v>
      </c>
      <c r="E107" s="83">
        <v>50</v>
      </c>
      <c r="F107" s="76">
        <v>174600</v>
      </c>
      <c r="G107" s="76">
        <f t="shared" si="5"/>
        <v>8730000</v>
      </c>
    </row>
    <row r="108" spans="1:7">
      <c r="A108" s="71">
        <v>7</v>
      </c>
      <c r="B108" s="75" t="s">
        <v>334</v>
      </c>
      <c r="C108" s="76" t="s">
        <v>468</v>
      </c>
      <c r="D108" s="75" t="s">
        <v>275</v>
      </c>
      <c r="E108" s="83">
        <v>5</v>
      </c>
      <c r="F108" s="76">
        <v>185700</v>
      </c>
      <c r="G108" s="76">
        <f t="shared" si="5"/>
        <v>928500</v>
      </c>
    </row>
    <row r="109" spans="1:7">
      <c r="A109" s="71"/>
      <c r="B109" s="75"/>
      <c r="C109" s="78" t="s">
        <v>469</v>
      </c>
      <c r="D109" s="75"/>
      <c r="E109" s="84">
        <f>SUM(E102:E108)</f>
        <v>284</v>
      </c>
      <c r="F109" s="84"/>
      <c r="G109" s="84">
        <f t="shared" ref="G109" si="9">SUM(G102:G108)</f>
        <v>52647900</v>
      </c>
    </row>
    <row r="110" spans="1:7">
      <c r="A110" s="71">
        <v>1</v>
      </c>
      <c r="B110" s="75" t="s">
        <v>470</v>
      </c>
      <c r="C110" s="76" t="s">
        <v>471</v>
      </c>
      <c r="D110" s="75" t="s">
        <v>374</v>
      </c>
      <c r="E110" s="83">
        <v>117</v>
      </c>
      <c r="F110" s="76">
        <v>191300</v>
      </c>
      <c r="G110" s="76">
        <f t="shared" si="5"/>
        <v>22382100</v>
      </c>
    </row>
    <row r="111" spans="1:7">
      <c r="A111" s="71">
        <v>2</v>
      </c>
      <c r="B111" s="75" t="s">
        <v>472</v>
      </c>
      <c r="C111" s="76" t="s">
        <v>471</v>
      </c>
      <c r="D111" s="75" t="s">
        <v>374</v>
      </c>
      <c r="E111" s="83">
        <v>76</v>
      </c>
      <c r="F111" s="76">
        <v>191300</v>
      </c>
      <c r="G111" s="76">
        <f t="shared" si="5"/>
        <v>14538800</v>
      </c>
    </row>
    <row r="112" spans="1:7">
      <c r="A112" s="71">
        <v>3</v>
      </c>
      <c r="B112" s="75" t="s">
        <v>473</v>
      </c>
      <c r="C112" s="76" t="s">
        <v>471</v>
      </c>
      <c r="D112" s="75" t="s">
        <v>374</v>
      </c>
      <c r="E112" s="83">
        <v>70</v>
      </c>
      <c r="F112" s="76">
        <v>191300</v>
      </c>
      <c r="G112" s="76">
        <f t="shared" si="5"/>
        <v>13391000</v>
      </c>
    </row>
    <row r="113" spans="1:7">
      <c r="A113" s="71">
        <v>4</v>
      </c>
      <c r="B113" s="75" t="s">
        <v>474</v>
      </c>
      <c r="C113" s="76" t="s">
        <v>471</v>
      </c>
      <c r="D113" s="75" t="s">
        <v>377</v>
      </c>
      <c r="E113" s="83">
        <v>140</v>
      </c>
      <c r="F113" s="76">
        <v>191300</v>
      </c>
      <c r="G113" s="76">
        <f t="shared" si="5"/>
        <v>26782000</v>
      </c>
    </row>
    <row r="114" spans="1:7">
      <c r="A114" s="71">
        <v>5</v>
      </c>
      <c r="B114" s="75" t="s">
        <v>475</v>
      </c>
      <c r="C114" s="76" t="s">
        <v>471</v>
      </c>
      <c r="D114" s="75" t="s">
        <v>379</v>
      </c>
      <c r="E114" s="83">
        <v>80</v>
      </c>
      <c r="F114" s="76">
        <v>191300</v>
      </c>
      <c r="G114" s="76">
        <f t="shared" si="5"/>
        <v>15304000</v>
      </c>
    </row>
    <row r="115" spans="1:7">
      <c r="A115" s="71">
        <v>6</v>
      </c>
      <c r="B115" s="75" t="s">
        <v>476</v>
      </c>
      <c r="C115" s="76" t="s">
        <v>471</v>
      </c>
      <c r="D115" s="75" t="s">
        <v>379</v>
      </c>
      <c r="E115" s="83">
        <v>200</v>
      </c>
      <c r="F115" s="76">
        <v>191300</v>
      </c>
      <c r="G115" s="76">
        <f t="shared" si="5"/>
        <v>38260000</v>
      </c>
    </row>
    <row r="116" spans="1:7">
      <c r="A116" s="71">
        <v>7</v>
      </c>
      <c r="B116" s="75" t="s">
        <v>477</v>
      </c>
      <c r="C116" s="76" t="s">
        <v>471</v>
      </c>
      <c r="D116" s="75" t="s">
        <v>379</v>
      </c>
      <c r="E116" s="83">
        <v>94</v>
      </c>
      <c r="F116" s="76">
        <v>191300</v>
      </c>
      <c r="G116" s="76">
        <f t="shared" si="5"/>
        <v>17982200</v>
      </c>
    </row>
    <row r="117" spans="1:7">
      <c r="A117" s="71">
        <v>8</v>
      </c>
      <c r="B117" s="75" t="s">
        <v>478</v>
      </c>
      <c r="C117" s="76" t="s">
        <v>471</v>
      </c>
      <c r="D117" s="75" t="s">
        <v>379</v>
      </c>
      <c r="E117" s="83">
        <v>53</v>
      </c>
      <c r="F117" s="76">
        <v>191300</v>
      </c>
      <c r="G117" s="76">
        <f t="shared" si="5"/>
        <v>10138900</v>
      </c>
    </row>
    <row r="118" spans="1:7">
      <c r="A118" s="71">
        <v>9</v>
      </c>
      <c r="B118" s="75" t="s">
        <v>479</v>
      </c>
      <c r="C118" s="76" t="s">
        <v>471</v>
      </c>
      <c r="D118" s="75" t="s">
        <v>382</v>
      </c>
      <c r="E118" s="83">
        <v>48</v>
      </c>
      <c r="F118" s="76">
        <v>174600</v>
      </c>
      <c r="G118" s="76">
        <f t="shared" si="5"/>
        <v>8380800</v>
      </c>
    </row>
    <row r="119" spans="1:7">
      <c r="A119" s="71">
        <v>10</v>
      </c>
      <c r="B119" s="75" t="s">
        <v>480</v>
      </c>
      <c r="C119" s="76" t="s">
        <v>471</v>
      </c>
      <c r="D119" s="75" t="s">
        <v>382</v>
      </c>
      <c r="E119" s="83">
        <v>57</v>
      </c>
      <c r="F119" s="76">
        <v>174600</v>
      </c>
      <c r="G119" s="76">
        <f t="shared" si="5"/>
        <v>9952200</v>
      </c>
    </row>
    <row r="120" spans="1:7">
      <c r="A120" s="71">
        <v>11</v>
      </c>
      <c r="B120" s="75" t="s">
        <v>481</v>
      </c>
      <c r="C120" s="76" t="s">
        <v>471</v>
      </c>
      <c r="D120" s="75" t="s">
        <v>382</v>
      </c>
      <c r="E120" s="83">
        <v>43</v>
      </c>
      <c r="F120" s="76">
        <v>174600</v>
      </c>
      <c r="G120" s="76">
        <f t="shared" si="5"/>
        <v>7507800</v>
      </c>
    </row>
    <row r="121" spans="1:7">
      <c r="A121" s="71">
        <v>12</v>
      </c>
      <c r="B121" s="75" t="s">
        <v>482</v>
      </c>
      <c r="C121" s="76" t="s">
        <v>471</v>
      </c>
      <c r="D121" s="75" t="s">
        <v>382</v>
      </c>
      <c r="E121" s="83">
        <v>45</v>
      </c>
      <c r="F121" s="76">
        <v>174600</v>
      </c>
      <c r="G121" s="76">
        <f t="shared" si="5"/>
        <v>7857000</v>
      </c>
    </row>
    <row r="122" spans="1:7">
      <c r="A122" s="71">
        <v>13</v>
      </c>
      <c r="B122" s="75" t="s">
        <v>483</v>
      </c>
      <c r="C122" s="76" t="s">
        <v>471</v>
      </c>
      <c r="D122" s="75" t="s">
        <v>382</v>
      </c>
      <c r="E122" s="83">
        <v>30</v>
      </c>
      <c r="F122" s="76">
        <v>174600</v>
      </c>
      <c r="G122" s="76">
        <f t="shared" si="5"/>
        <v>5238000</v>
      </c>
    </row>
    <row r="123" spans="1:7">
      <c r="A123" s="71">
        <v>14</v>
      </c>
      <c r="B123" s="75" t="s">
        <v>484</v>
      </c>
      <c r="C123" s="76" t="s">
        <v>471</v>
      </c>
      <c r="D123" s="75" t="s">
        <v>382</v>
      </c>
      <c r="E123" s="83">
        <v>13</v>
      </c>
      <c r="F123" s="76">
        <v>174600</v>
      </c>
      <c r="G123" s="76">
        <f t="shared" si="5"/>
        <v>2269800</v>
      </c>
    </row>
    <row r="124" spans="1:7">
      <c r="A124" s="71">
        <v>15</v>
      </c>
      <c r="B124" s="75" t="s">
        <v>485</v>
      </c>
      <c r="C124" s="76" t="s">
        <v>471</v>
      </c>
      <c r="D124" s="75" t="s">
        <v>275</v>
      </c>
      <c r="E124" s="83">
        <v>5</v>
      </c>
      <c r="F124" s="76">
        <v>185700</v>
      </c>
      <c r="G124" s="76">
        <f t="shared" si="5"/>
        <v>928500</v>
      </c>
    </row>
    <row r="125" spans="1:7">
      <c r="A125" s="71"/>
      <c r="B125" s="75"/>
      <c r="C125" s="78" t="s">
        <v>486</v>
      </c>
      <c r="D125" s="75"/>
      <c r="E125" s="84">
        <f>SUM(E110:E124)</f>
        <v>1071</v>
      </c>
      <c r="F125" s="84"/>
      <c r="G125" s="84">
        <f t="shared" ref="G125" si="10">SUM(G110:G124)</f>
        <v>200913100</v>
      </c>
    </row>
    <row r="126" spans="1:7">
      <c r="A126" s="71"/>
      <c r="B126" s="75"/>
      <c r="C126" s="78" t="s">
        <v>487</v>
      </c>
      <c r="D126" s="75"/>
      <c r="E126" s="84">
        <f>SUM(E125,E109,E101,E95,E74,E54,E35,E22,E13)</f>
        <v>7144</v>
      </c>
      <c r="F126" s="84"/>
      <c r="G126" s="84">
        <f t="shared" ref="G126" si="11">SUM(G125,G109,G101,G95,G74,G54,G35,G22,G13)</f>
        <v>1332071000</v>
      </c>
    </row>
  </sheetData>
  <autoFilter ref="A2:H126"/>
  <mergeCells count="1">
    <mergeCell ref="A1:G1"/>
  </mergeCells>
  <phoneticPr fontId="3" type="noConversion"/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"/>
  <sheetViews>
    <sheetView workbookViewId="0">
      <selection activeCell="B6" sqref="B6:D6"/>
    </sheetView>
  </sheetViews>
  <sheetFormatPr defaultRowHeight="13.5"/>
  <cols>
    <col min="8" max="8" width="15.5" customWidth="1"/>
    <col min="9" max="9" width="20" customWidth="1"/>
  </cols>
  <sheetData>
    <row r="1" spans="1:9" ht="27">
      <c r="A1" s="353" t="s">
        <v>543</v>
      </c>
      <c r="B1" s="354"/>
      <c r="C1" s="354"/>
      <c r="D1" s="354"/>
      <c r="E1" s="354"/>
      <c r="F1" s="354"/>
      <c r="G1" s="354"/>
      <c r="H1" s="354"/>
      <c r="I1" s="354"/>
    </row>
    <row r="2" spans="1:9" ht="22.5">
      <c r="A2" s="147" t="s">
        <v>620</v>
      </c>
      <c r="B2" s="352" t="s">
        <v>621</v>
      </c>
      <c r="C2" s="352"/>
      <c r="D2" s="352"/>
      <c r="E2" s="148" t="s">
        <v>622</v>
      </c>
      <c r="F2" s="149" t="s">
        <v>623</v>
      </c>
      <c r="G2" s="149" t="s">
        <v>624</v>
      </c>
      <c r="H2" s="150" t="s">
        <v>625</v>
      </c>
      <c r="I2" s="151" t="s">
        <v>626</v>
      </c>
    </row>
    <row r="3" spans="1:9">
      <c r="A3" s="152">
        <v>1</v>
      </c>
      <c r="B3" s="351" t="s">
        <v>633</v>
      </c>
      <c r="C3" s="351"/>
      <c r="D3" s="351"/>
      <c r="E3" s="149" t="s">
        <v>627</v>
      </c>
      <c r="F3" s="147">
        <v>1</v>
      </c>
      <c r="G3" s="149">
        <v>5</v>
      </c>
      <c r="H3" s="153">
        <v>95250</v>
      </c>
      <c r="I3" s="153">
        <f t="shared" ref="I3" si="0">H3*G3</f>
        <v>476250</v>
      </c>
    </row>
    <row r="4" spans="1:9">
      <c r="A4" s="152"/>
      <c r="B4" s="351" t="s">
        <v>628</v>
      </c>
      <c r="C4" s="351"/>
      <c r="D4" s="351"/>
      <c r="E4" s="152"/>
      <c r="F4" s="152"/>
      <c r="G4" s="152"/>
      <c r="H4" s="154"/>
      <c r="I4" s="154">
        <f>I3</f>
        <v>476250</v>
      </c>
    </row>
    <row r="5" spans="1:9">
      <c r="A5" s="152">
        <v>1</v>
      </c>
      <c r="B5" s="351" t="s">
        <v>629</v>
      </c>
      <c r="C5" s="351"/>
      <c r="D5" s="351"/>
      <c r="E5" s="152" t="s">
        <v>630</v>
      </c>
      <c r="F5" s="152">
        <v>1</v>
      </c>
      <c r="G5" s="152">
        <v>5</v>
      </c>
      <c r="H5" s="154">
        <v>95250</v>
      </c>
      <c r="I5" s="154">
        <v>476250</v>
      </c>
    </row>
    <row r="6" spans="1:9">
      <c r="A6" s="152"/>
      <c r="B6" s="351" t="s">
        <v>631</v>
      </c>
      <c r="C6" s="351"/>
      <c r="D6" s="351"/>
      <c r="E6" s="152"/>
      <c r="F6" s="152"/>
      <c r="G6" s="152"/>
      <c r="H6" s="154"/>
      <c r="I6" s="154">
        <f>I5</f>
        <v>476250</v>
      </c>
    </row>
    <row r="7" spans="1:9">
      <c r="A7" s="152"/>
      <c r="B7" s="351" t="s">
        <v>632</v>
      </c>
      <c r="C7" s="351"/>
      <c r="D7" s="351"/>
      <c r="E7" s="152"/>
      <c r="F7" s="152"/>
      <c r="G7" s="152"/>
      <c r="H7" s="154"/>
      <c r="I7" s="154">
        <f>I4+I6</f>
        <v>952500</v>
      </c>
    </row>
  </sheetData>
  <mergeCells count="7">
    <mergeCell ref="B6:D6"/>
    <mergeCell ref="B7:D7"/>
    <mergeCell ref="B2:D2"/>
    <mergeCell ref="B3:D3"/>
    <mergeCell ref="A1:I1"/>
    <mergeCell ref="B4:D4"/>
    <mergeCell ref="B5:D5"/>
  </mergeCells>
  <phoneticPr fontId="3" type="noConversion"/>
  <pageMargins left="0.7" right="0.7" top="0.75" bottom="0.75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27"/>
  <sheetViews>
    <sheetView workbookViewId="0">
      <selection activeCell="D9" sqref="D9"/>
    </sheetView>
  </sheetViews>
  <sheetFormatPr defaultRowHeight="13.5" outlineLevelRow="2"/>
  <cols>
    <col min="1" max="1" width="13.875" style="124" customWidth="1"/>
    <col min="2" max="2" width="23.875" style="124" customWidth="1"/>
    <col min="3" max="3" width="18.5" style="124" customWidth="1"/>
    <col min="4" max="16384" width="9" style="124"/>
  </cols>
  <sheetData>
    <row r="1" spans="1:3" ht="20.25">
      <c r="A1" s="355" t="s">
        <v>619</v>
      </c>
      <c r="B1" s="355"/>
      <c r="C1" s="355"/>
    </row>
    <row r="2" spans="1:3" ht="14.25">
      <c r="A2" s="125" t="s">
        <v>556</v>
      </c>
      <c r="B2" s="125" t="s">
        <v>557</v>
      </c>
      <c r="C2" s="125" t="s">
        <v>558</v>
      </c>
    </row>
    <row r="3" spans="1:3" outlineLevel="2">
      <c r="A3" s="126" t="s">
        <v>547</v>
      </c>
      <c r="B3" s="127" t="s">
        <v>568</v>
      </c>
      <c r="C3" s="126">
        <v>22361.14</v>
      </c>
    </row>
    <row r="4" spans="1:3" outlineLevel="2">
      <c r="A4" s="126" t="s">
        <v>547</v>
      </c>
      <c r="B4" s="127" t="s">
        <v>324</v>
      </c>
      <c r="C4" s="126">
        <v>203320.07</v>
      </c>
    </row>
    <row r="5" spans="1:3" outlineLevel="2">
      <c r="A5" s="126" t="s">
        <v>547</v>
      </c>
      <c r="B5" s="127" t="s">
        <v>325</v>
      </c>
      <c r="C5" s="126">
        <v>143502.85999999999</v>
      </c>
    </row>
    <row r="6" spans="1:3" outlineLevel="2">
      <c r="A6" s="126" t="s">
        <v>547</v>
      </c>
      <c r="B6" s="127" t="s">
        <v>326</v>
      </c>
      <c r="C6" s="126">
        <v>411655.71</v>
      </c>
    </row>
    <row r="7" spans="1:3" outlineLevel="2">
      <c r="A7" s="126" t="s">
        <v>547</v>
      </c>
      <c r="B7" s="127" t="s">
        <v>545</v>
      </c>
      <c r="C7" s="126">
        <v>76137.86</v>
      </c>
    </row>
    <row r="8" spans="1:3" outlineLevel="1">
      <c r="A8" s="128" t="s">
        <v>559</v>
      </c>
      <c r="B8" s="127"/>
      <c r="C8" s="126">
        <f>SUBTOTAL(9,C3:C7)</f>
        <v>856977.64</v>
      </c>
    </row>
    <row r="9" spans="1:3" ht="22.5" outlineLevel="2">
      <c r="A9" s="126" t="s">
        <v>548</v>
      </c>
      <c r="B9" s="129" t="s">
        <v>328</v>
      </c>
      <c r="C9" s="126">
        <v>299031.43</v>
      </c>
    </row>
    <row r="10" spans="1:3" outlineLevel="2">
      <c r="A10" s="126" t="s">
        <v>548</v>
      </c>
      <c r="B10" s="129" t="s">
        <v>329</v>
      </c>
      <c r="C10" s="126">
        <v>217494.34</v>
      </c>
    </row>
    <row r="11" spans="1:3" outlineLevel="2">
      <c r="A11" s="126" t="s">
        <v>548</v>
      </c>
      <c r="B11" s="129" t="s">
        <v>330</v>
      </c>
      <c r="C11" s="126">
        <v>99171.43</v>
      </c>
    </row>
    <row r="12" spans="1:3" outlineLevel="2">
      <c r="A12" s="126" t="s">
        <v>548</v>
      </c>
      <c r="B12" s="129" t="s">
        <v>331</v>
      </c>
      <c r="C12" s="126">
        <v>45528</v>
      </c>
    </row>
    <row r="13" spans="1:3" outlineLevel="2">
      <c r="A13" s="126" t="s">
        <v>548</v>
      </c>
      <c r="B13" s="129" t="s">
        <v>332</v>
      </c>
      <c r="C13" s="126">
        <v>92836.29</v>
      </c>
    </row>
    <row r="14" spans="1:3" outlineLevel="2">
      <c r="A14" s="126" t="s">
        <v>548</v>
      </c>
      <c r="B14" s="129" t="s">
        <v>333</v>
      </c>
      <c r="C14" s="126">
        <v>127794.86</v>
      </c>
    </row>
    <row r="15" spans="1:3" outlineLevel="2">
      <c r="A15" s="126" t="s">
        <v>548</v>
      </c>
      <c r="B15" s="129" t="s">
        <v>334</v>
      </c>
      <c r="C15" s="126">
        <v>19272.599999999999</v>
      </c>
    </row>
    <row r="16" spans="1:3" outlineLevel="1">
      <c r="A16" s="126" t="s">
        <v>560</v>
      </c>
      <c r="B16" s="129"/>
      <c r="C16" s="126">
        <f>SUBTOTAL(9,C9:C15)</f>
        <v>901128.95</v>
      </c>
    </row>
    <row r="17" spans="1:3" outlineLevel="2">
      <c r="A17" s="126" t="s">
        <v>549</v>
      </c>
      <c r="B17" s="127" t="s">
        <v>546</v>
      </c>
      <c r="C17" s="126">
        <v>313457.14</v>
      </c>
    </row>
    <row r="18" spans="1:3" outlineLevel="2">
      <c r="A18" s="126" t="s">
        <v>549</v>
      </c>
      <c r="B18" s="127" t="s">
        <v>569</v>
      </c>
      <c r="C18" s="126">
        <v>456364.29</v>
      </c>
    </row>
    <row r="19" spans="1:3" outlineLevel="2">
      <c r="A19" s="126" t="s">
        <v>549</v>
      </c>
      <c r="B19" s="127" t="s">
        <v>570</v>
      </c>
      <c r="C19" s="126">
        <v>875679.43</v>
      </c>
    </row>
    <row r="20" spans="1:3" outlineLevel="2">
      <c r="A20" s="126" t="s">
        <v>549</v>
      </c>
      <c r="B20" s="127" t="s">
        <v>571</v>
      </c>
      <c r="C20" s="126">
        <v>193523.14</v>
      </c>
    </row>
    <row r="21" spans="1:3" outlineLevel="2">
      <c r="A21" s="126" t="s">
        <v>549</v>
      </c>
      <c r="B21" s="127" t="s">
        <v>572</v>
      </c>
      <c r="C21" s="126">
        <v>45311.14</v>
      </c>
    </row>
    <row r="22" spans="1:3" outlineLevel="2">
      <c r="A22" s="126" t="s">
        <v>549</v>
      </c>
      <c r="B22" s="127" t="s">
        <v>573</v>
      </c>
      <c r="C22" s="126">
        <v>57561.43</v>
      </c>
    </row>
    <row r="23" spans="1:3" outlineLevel="2">
      <c r="A23" s="126" t="s">
        <v>549</v>
      </c>
      <c r="B23" s="127" t="s">
        <v>574</v>
      </c>
      <c r="C23" s="126">
        <v>237880.29</v>
      </c>
    </row>
    <row r="24" spans="1:3" outlineLevel="2">
      <c r="A24" s="126" t="s">
        <v>549</v>
      </c>
      <c r="B24" s="127" t="s">
        <v>575</v>
      </c>
      <c r="C24" s="126">
        <v>279506.57</v>
      </c>
    </row>
    <row r="25" spans="1:3" outlineLevel="2">
      <c r="A25" s="126" t="s">
        <v>549</v>
      </c>
      <c r="B25" s="127" t="s">
        <v>12</v>
      </c>
      <c r="C25" s="126">
        <v>1129024.29</v>
      </c>
    </row>
    <row r="26" spans="1:3" outlineLevel="2">
      <c r="A26" s="126" t="s">
        <v>549</v>
      </c>
      <c r="B26" s="127" t="s">
        <v>576</v>
      </c>
      <c r="C26" s="126">
        <v>89107.71</v>
      </c>
    </row>
    <row r="27" spans="1:3" outlineLevel="2">
      <c r="A27" s="126" t="s">
        <v>549</v>
      </c>
      <c r="B27" s="127" t="s">
        <v>577</v>
      </c>
      <c r="C27" s="126">
        <v>121374</v>
      </c>
    </row>
    <row r="28" spans="1:3" outlineLevel="2">
      <c r="A28" s="126" t="s">
        <v>549</v>
      </c>
      <c r="B28" s="127" t="s">
        <v>15</v>
      </c>
      <c r="C28" s="126">
        <v>337808.57</v>
      </c>
    </row>
    <row r="29" spans="1:3" outlineLevel="2">
      <c r="A29" s="126" t="s">
        <v>549</v>
      </c>
      <c r="B29" s="127" t="s">
        <v>578</v>
      </c>
      <c r="C29" s="126">
        <v>16714.29</v>
      </c>
    </row>
    <row r="30" spans="1:3" outlineLevel="2">
      <c r="A30" s="126" t="s">
        <v>549</v>
      </c>
      <c r="B30" s="127" t="s">
        <v>579</v>
      </c>
      <c r="C30" s="126">
        <v>402351.43</v>
      </c>
    </row>
    <row r="31" spans="1:3" outlineLevel="2">
      <c r="A31" s="126" t="s">
        <v>549</v>
      </c>
      <c r="B31" s="127" t="s">
        <v>580</v>
      </c>
      <c r="C31" s="126">
        <v>136085.14000000001</v>
      </c>
    </row>
    <row r="32" spans="1:3" outlineLevel="2">
      <c r="A32" s="126" t="s">
        <v>549</v>
      </c>
      <c r="B32" s="127" t="s">
        <v>581</v>
      </c>
      <c r="C32" s="126">
        <v>135365.14000000001</v>
      </c>
    </row>
    <row r="33" spans="1:3" outlineLevel="2">
      <c r="A33" s="126" t="s">
        <v>549</v>
      </c>
      <c r="B33" s="127" t="s">
        <v>20</v>
      </c>
      <c r="C33" s="126">
        <v>204467.14</v>
      </c>
    </row>
    <row r="34" spans="1:3" outlineLevel="2">
      <c r="A34" s="126" t="s">
        <v>549</v>
      </c>
      <c r="B34" s="127" t="s">
        <v>582</v>
      </c>
      <c r="C34" s="126">
        <v>271041.43</v>
      </c>
    </row>
    <row r="35" spans="1:3" outlineLevel="2">
      <c r="A35" s="126" t="s">
        <v>549</v>
      </c>
      <c r="B35" s="127" t="s">
        <v>618</v>
      </c>
      <c r="C35" s="126">
        <v>25711.71</v>
      </c>
    </row>
    <row r="36" spans="1:3" outlineLevel="2">
      <c r="A36" s="126" t="s">
        <v>549</v>
      </c>
      <c r="B36" s="127" t="s">
        <v>583</v>
      </c>
      <c r="C36" s="126">
        <v>129944.57</v>
      </c>
    </row>
    <row r="37" spans="1:3" outlineLevel="1">
      <c r="A37" s="126" t="s">
        <v>561</v>
      </c>
      <c r="B37" s="127"/>
      <c r="C37" s="126">
        <f>SUBTOTAL(9,C17:C36)</f>
        <v>5458278.8499999987</v>
      </c>
    </row>
    <row r="38" spans="1:3" outlineLevel="2">
      <c r="A38" s="126" t="s">
        <v>550</v>
      </c>
      <c r="B38" s="129" t="s">
        <v>495</v>
      </c>
      <c r="C38" s="126">
        <v>278536.5</v>
      </c>
    </row>
    <row r="39" spans="1:3" outlineLevel="2">
      <c r="A39" s="126" t="s">
        <v>550</v>
      </c>
      <c r="B39" s="129" t="s">
        <v>496</v>
      </c>
      <c r="C39" s="126">
        <v>285762.86</v>
      </c>
    </row>
    <row r="40" spans="1:3" outlineLevel="2">
      <c r="A40" s="126" t="s">
        <v>550</v>
      </c>
      <c r="B40" s="129" t="s">
        <v>489</v>
      </c>
      <c r="C40" s="126">
        <v>154512</v>
      </c>
    </row>
    <row r="41" spans="1:3" outlineLevel="2">
      <c r="A41" s="126" t="s">
        <v>550</v>
      </c>
      <c r="B41" s="129" t="s">
        <v>497</v>
      </c>
      <c r="C41" s="126">
        <v>227692.29</v>
      </c>
    </row>
    <row r="42" spans="1:3" outlineLevel="2">
      <c r="A42" s="126" t="s">
        <v>550</v>
      </c>
      <c r="B42" s="129" t="s">
        <v>498</v>
      </c>
      <c r="C42" s="126">
        <v>22268.57</v>
      </c>
    </row>
    <row r="43" spans="1:3" outlineLevel="2">
      <c r="A43" s="126" t="s">
        <v>550</v>
      </c>
      <c r="B43" s="129" t="s">
        <v>490</v>
      </c>
      <c r="C43" s="126">
        <v>278398.28999999998</v>
      </c>
    </row>
    <row r="44" spans="1:3" outlineLevel="2">
      <c r="A44" s="126" t="s">
        <v>550</v>
      </c>
      <c r="B44" s="129" t="s">
        <v>491</v>
      </c>
      <c r="C44" s="126">
        <v>236936.57</v>
      </c>
    </row>
    <row r="45" spans="1:3" outlineLevel="2">
      <c r="A45" s="126" t="s">
        <v>550</v>
      </c>
      <c r="B45" s="129" t="s">
        <v>499</v>
      </c>
      <c r="C45" s="126">
        <v>146795.14000000001</v>
      </c>
    </row>
    <row r="46" spans="1:3" outlineLevel="2">
      <c r="A46" s="126" t="s">
        <v>550</v>
      </c>
      <c r="B46" s="129" t="s">
        <v>492</v>
      </c>
      <c r="C46" s="126">
        <v>288401.14</v>
      </c>
    </row>
    <row r="47" spans="1:3" outlineLevel="2">
      <c r="A47" s="126" t="s">
        <v>550</v>
      </c>
      <c r="B47" s="129" t="s">
        <v>500</v>
      </c>
      <c r="C47" s="126">
        <v>179781.43</v>
      </c>
    </row>
    <row r="48" spans="1:3" outlineLevel="2">
      <c r="A48" s="126" t="s">
        <v>550</v>
      </c>
      <c r="B48" s="129" t="s">
        <v>501</v>
      </c>
      <c r="C48" s="126">
        <v>168225.43</v>
      </c>
    </row>
    <row r="49" spans="1:3" outlineLevel="2">
      <c r="A49" s="126" t="s">
        <v>550</v>
      </c>
      <c r="B49" s="129" t="s">
        <v>493</v>
      </c>
      <c r="C49" s="126">
        <v>175836.86</v>
      </c>
    </row>
    <row r="50" spans="1:3" outlineLevel="2">
      <c r="A50" s="126" t="s">
        <v>550</v>
      </c>
      <c r="B50" s="129" t="s">
        <v>502</v>
      </c>
      <c r="C50" s="126">
        <v>147974.79</v>
      </c>
    </row>
    <row r="51" spans="1:3" outlineLevel="2">
      <c r="A51" s="126" t="s">
        <v>550</v>
      </c>
      <c r="B51" s="129" t="s">
        <v>503</v>
      </c>
      <c r="C51" s="126">
        <v>55607.14</v>
      </c>
    </row>
    <row r="52" spans="1:3" outlineLevel="2">
      <c r="A52" s="126" t="s">
        <v>550</v>
      </c>
      <c r="B52" s="129" t="s">
        <v>504</v>
      </c>
      <c r="C52" s="126">
        <v>66965.14</v>
      </c>
    </row>
    <row r="53" spans="1:3" outlineLevel="2">
      <c r="A53" s="126" t="s">
        <v>550</v>
      </c>
      <c r="B53" s="129" t="s">
        <v>505</v>
      </c>
      <c r="C53" s="126">
        <v>59222.57</v>
      </c>
    </row>
    <row r="54" spans="1:3" outlineLevel="2">
      <c r="A54" s="126" t="s">
        <v>550</v>
      </c>
      <c r="B54" s="129" t="s">
        <v>506</v>
      </c>
      <c r="C54" s="126">
        <v>101690.57</v>
      </c>
    </row>
    <row r="55" spans="1:3" outlineLevel="2">
      <c r="A55" s="126" t="s">
        <v>550</v>
      </c>
      <c r="B55" s="129" t="s">
        <v>494</v>
      </c>
      <c r="C55" s="126">
        <v>104482.29</v>
      </c>
    </row>
    <row r="56" spans="1:3" outlineLevel="2">
      <c r="A56" s="126" t="s">
        <v>550</v>
      </c>
      <c r="B56" s="129" t="s">
        <v>507</v>
      </c>
      <c r="C56" s="126">
        <v>19694.57</v>
      </c>
    </row>
    <row r="57" spans="1:3" outlineLevel="1">
      <c r="A57" s="126" t="s">
        <v>562</v>
      </c>
      <c r="B57" s="129"/>
      <c r="C57" s="126">
        <f>SUBTOTAL(9,C38:C56)</f>
        <v>2998784.1500000004</v>
      </c>
    </row>
    <row r="58" spans="1:3" outlineLevel="2">
      <c r="A58" s="126" t="s">
        <v>551</v>
      </c>
      <c r="B58" s="130" t="s">
        <v>306</v>
      </c>
      <c r="C58" s="126">
        <v>218748.86</v>
      </c>
    </row>
    <row r="59" spans="1:3" outlineLevel="2">
      <c r="A59" s="126" t="s">
        <v>551</v>
      </c>
      <c r="B59" s="130" t="s">
        <v>307</v>
      </c>
      <c r="C59" s="126">
        <v>227869.71</v>
      </c>
    </row>
    <row r="60" spans="1:3" outlineLevel="2">
      <c r="A60" s="126" t="s">
        <v>551</v>
      </c>
      <c r="B60" s="130" t="s">
        <v>308</v>
      </c>
      <c r="C60" s="126">
        <v>245008.29</v>
      </c>
    </row>
    <row r="61" spans="1:3" outlineLevel="2">
      <c r="A61" s="126" t="s">
        <v>551</v>
      </c>
      <c r="B61" s="130" t="s">
        <v>309</v>
      </c>
      <c r="C61" s="126">
        <v>236887.71</v>
      </c>
    </row>
    <row r="62" spans="1:3" outlineLevel="2">
      <c r="A62" s="126" t="s">
        <v>551</v>
      </c>
      <c r="B62" s="130" t="s">
        <v>310</v>
      </c>
      <c r="C62" s="126">
        <v>260516.57</v>
      </c>
    </row>
    <row r="63" spans="1:3" outlineLevel="2">
      <c r="A63" s="126" t="s">
        <v>551</v>
      </c>
      <c r="B63" s="130" t="s">
        <v>311</v>
      </c>
      <c r="C63" s="126">
        <v>198853.71</v>
      </c>
    </row>
    <row r="64" spans="1:3" outlineLevel="2">
      <c r="A64" s="126" t="s">
        <v>551</v>
      </c>
      <c r="B64" s="130" t="s">
        <v>312</v>
      </c>
      <c r="C64" s="126">
        <v>368066.57</v>
      </c>
    </row>
    <row r="65" spans="1:3" outlineLevel="2">
      <c r="A65" s="126" t="s">
        <v>551</v>
      </c>
      <c r="B65" s="130" t="s">
        <v>313</v>
      </c>
      <c r="C65" s="126">
        <v>180005.14</v>
      </c>
    </row>
    <row r="66" spans="1:3" outlineLevel="2">
      <c r="A66" s="126" t="s">
        <v>551</v>
      </c>
      <c r="B66" s="130" t="s">
        <v>314</v>
      </c>
      <c r="C66" s="126">
        <v>134130.85999999999</v>
      </c>
    </row>
    <row r="67" spans="1:3" outlineLevel="2">
      <c r="A67" s="126" t="s">
        <v>551</v>
      </c>
      <c r="B67" s="130" t="s">
        <v>315</v>
      </c>
      <c r="C67" s="126">
        <v>192168</v>
      </c>
    </row>
    <row r="68" spans="1:3" outlineLevel="2">
      <c r="A68" s="126" t="s">
        <v>551</v>
      </c>
      <c r="B68" s="130" t="s">
        <v>316</v>
      </c>
      <c r="C68" s="126">
        <v>60176.57</v>
      </c>
    </row>
    <row r="69" spans="1:3" outlineLevel="2">
      <c r="A69" s="126" t="s">
        <v>551</v>
      </c>
      <c r="B69" s="130" t="s">
        <v>317</v>
      </c>
      <c r="C69" s="126">
        <v>137352.85999999999</v>
      </c>
    </row>
    <row r="70" spans="1:3" outlineLevel="2">
      <c r="A70" s="126" t="s">
        <v>551</v>
      </c>
      <c r="B70" s="130" t="s">
        <v>318</v>
      </c>
      <c r="C70" s="126">
        <v>71506.289999999994</v>
      </c>
    </row>
    <row r="71" spans="1:3" outlineLevel="2">
      <c r="A71" s="126" t="s">
        <v>551</v>
      </c>
      <c r="B71" s="130" t="s">
        <v>319</v>
      </c>
      <c r="C71" s="126">
        <v>98907.43</v>
      </c>
    </row>
    <row r="72" spans="1:3" outlineLevel="2">
      <c r="A72" s="126" t="s">
        <v>551</v>
      </c>
      <c r="B72" s="130" t="s">
        <v>320</v>
      </c>
      <c r="C72" s="126">
        <v>44940.86</v>
      </c>
    </row>
    <row r="73" spans="1:3" outlineLevel="2">
      <c r="A73" s="126" t="s">
        <v>551</v>
      </c>
      <c r="B73" s="130" t="s">
        <v>321</v>
      </c>
      <c r="C73" s="126">
        <v>15742.29</v>
      </c>
    </row>
    <row r="74" spans="1:3" outlineLevel="2">
      <c r="A74" s="126" t="s">
        <v>551</v>
      </c>
      <c r="B74" s="130" t="s">
        <v>322</v>
      </c>
      <c r="C74" s="126">
        <v>14168.57</v>
      </c>
    </row>
    <row r="75" spans="1:3" outlineLevel="2">
      <c r="A75" s="126" t="s">
        <v>551</v>
      </c>
      <c r="B75" s="127" t="s">
        <v>323</v>
      </c>
      <c r="C75" s="126">
        <v>229520.57</v>
      </c>
    </row>
    <row r="76" spans="1:3" outlineLevel="1">
      <c r="A76" s="126" t="s">
        <v>563</v>
      </c>
      <c r="B76" s="127"/>
      <c r="C76" s="126">
        <f>SUBTOTAL(9,C58:C75)</f>
        <v>2934570.8599999994</v>
      </c>
    </row>
    <row r="77" spans="1:3" outlineLevel="2">
      <c r="A77" s="126" t="s">
        <v>552</v>
      </c>
      <c r="B77" s="127" t="s">
        <v>294</v>
      </c>
      <c r="C77" s="126">
        <v>28936.29</v>
      </c>
    </row>
    <row r="78" spans="1:3" outlineLevel="2">
      <c r="A78" s="126" t="s">
        <v>552</v>
      </c>
      <c r="B78" s="127" t="s">
        <v>295</v>
      </c>
      <c r="C78" s="126">
        <v>597643.71</v>
      </c>
    </row>
    <row r="79" spans="1:3" outlineLevel="2">
      <c r="A79" s="126" t="s">
        <v>552</v>
      </c>
      <c r="B79" s="127" t="s">
        <v>296</v>
      </c>
      <c r="C79" s="126">
        <v>302893.71000000002</v>
      </c>
    </row>
    <row r="80" spans="1:3" outlineLevel="2">
      <c r="A80" s="126" t="s">
        <v>552</v>
      </c>
      <c r="B80" s="127" t="s">
        <v>297</v>
      </c>
      <c r="C80" s="126">
        <v>235272.86</v>
      </c>
    </row>
    <row r="81" spans="1:3" outlineLevel="2">
      <c r="A81" s="126" t="s">
        <v>552</v>
      </c>
      <c r="B81" s="127" t="s">
        <v>298</v>
      </c>
      <c r="C81" s="126">
        <v>378501.43</v>
      </c>
    </row>
    <row r="82" spans="1:3" outlineLevel="2">
      <c r="A82" s="126" t="s">
        <v>552</v>
      </c>
      <c r="B82" s="127" t="s">
        <v>299</v>
      </c>
      <c r="C82" s="126">
        <v>89159.14</v>
      </c>
    </row>
    <row r="83" spans="1:3" outlineLevel="2">
      <c r="A83" s="126" t="s">
        <v>552</v>
      </c>
      <c r="B83" s="127" t="s">
        <v>300</v>
      </c>
      <c r="C83" s="126">
        <v>65021.14</v>
      </c>
    </row>
    <row r="84" spans="1:3" outlineLevel="2">
      <c r="A84" s="126" t="s">
        <v>552</v>
      </c>
      <c r="B84" s="127" t="s">
        <v>301</v>
      </c>
      <c r="C84" s="126">
        <v>81756</v>
      </c>
    </row>
    <row r="85" spans="1:3" outlineLevel="2">
      <c r="A85" s="126" t="s">
        <v>552</v>
      </c>
      <c r="B85" s="127" t="s">
        <v>302</v>
      </c>
      <c r="C85" s="126">
        <v>72797.14</v>
      </c>
    </row>
    <row r="86" spans="1:3" outlineLevel="2">
      <c r="A86" s="126" t="s">
        <v>552</v>
      </c>
      <c r="B86" s="127" t="s">
        <v>303</v>
      </c>
      <c r="C86" s="126">
        <v>128535.43</v>
      </c>
    </row>
    <row r="87" spans="1:3" outlineLevel="2">
      <c r="A87" s="126" t="s">
        <v>552</v>
      </c>
      <c r="B87" s="127" t="s">
        <v>304</v>
      </c>
      <c r="C87" s="126">
        <v>57404.57</v>
      </c>
    </row>
    <row r="88" spans="1:3" outlineLevel="2">
      <c r="A88" s="126" t="s">
        <v>552</v>
      </c>
      <c r="B88" s="127" t="s">
        <v>305</v>
      </c>
      <c r="C88" s="126">
        <v>52976.57</v>
      </c>
    </row>
    <row r="89" spans="1:3" outlineLevel="1">
      <c r="A89" s="126" t="s">
        <v>564</v>
      </c>
      <c r="B89" s="127"/>
      <c r="C89" s="126">
        <f>SUBTOTAL(9,C77:C88)</f>
        <v>2090897.9899999995</v>
      </c>
    </row>
    <row r="90" spans="1:3" outlineLevel="2">
      <c r="A90" s="126" t="s">
        <v>553</v>
      </c>
      <c r="B90" s="127" t="s">
        <v>287</v>
      </c>
      <c r="C90" s="126">
        <v>89066.57</v>
      </c>
    </row>
    <row r="91" spans="1:3" outlineLevel="2">
      <c r="A91" s="126" t="s">
        <v>553</v>
      </c>
      <c r="B91" s="127" t="s">
        <v>288</v>
      </c>
      <c r="C91" s="126">
        <v>495753.43</v>
      </c>
    </row>
    <row r="92" spans="1:3" outlineLevel="2">
      <c r="A92" s="126" t="s">
        <v>553</v>
      </c>
      <c r="B92" s="127" t="s">
        <v>289</v>
      </c>
      <c r="C92" s="126">
        <v>501901.71</v>
      </c>
    </row>
    <row r="93" spans="1:3" outlineLevel="2">
      <c r="A93" s="126" t="s">
        <v>553</v>
      </c>
      <c r="B93" s="127" t="s">
        <v>290</v>
      </c>
      <c r="C93" s="126">
        <v>115094.57</v>
      </c>
    </row>
    <row r="94" spans="1:3" outlineLevel="2">
      <c r="A94" s="126" t="s">
        <v>553</v>
      </c>
      <c r="B94" s="127" t="s">
        <v>291</v>
      </c>
      <c r="C94" s="126">
        <v>105541.71</v>
      </c>
    </row>
    <row r="95" spans="1:3" outlineLevel="2">
      <c r="A95" s="126" t="s">
        <v>553</v>
      </c>
      <c r="B95" s="127" t="s">
        <v>617</v>
      </c>
      <c r="C95" s="126">
        <v>23574.86</v>
      </c>
    </row>
    <row r="96" spans="1:3" outlineLevel="2">
      <c r="A96" s="126" t="s">
        <v>553</v>
      </c>
      <c r="B96" s="127" t="s">
        <v>292</v>
      </c>
      <c r="C96" s="126">
        <v>403233.43</v>
      </c>
    </row>
    <row r="97" spans="1:3" outlineLevel="2">
      <c r="A97" s="126" t="s">
        <v>553</v>
      </c>
      <c r="B97" s="127" t="s">
        <v>293</v>
      </c>
      <c r="C97" s="126">
        <v>179709.43</v>
      </c>
    </row>
    <row r="98" spans="1:3" outlineLevel="1">
      <c r="A98" s="126" t="s">
        <v>565</v>
      </c>
      <c r="B98" s="127"/>
      <c r="C98" s="126">
        <f>SUBTOTAL(9,C90:C97)</f>
        <v>1913875.71</v>
      </c>
    </row>
    <row r="99" spans="1:3" outlineLevel="2">
      <c r="A99" s="126" t="s">
        <v>554</v>
      </c>
      <c r="B99" s="127" t="s">
        <v>336</v>
      </c>
      <c r="C99" s="126">
        <v>400309.71</v>
      </c>
    </row>
    <row r="100" spans="1:3" outlineLevel="2">
      <c r="A100" s="126" t="s">
        <v>554</v>
      </c>
      <c r="B100" s="127" t="s">
        <v>337</v>
      </c>
      <c r="C100" s="126">
        <v>262468.28999999998</v>
      </c>
    </row>
    <row r="101" spans="1:3" outlineLevel="2">
      <c r="A101" s="126" t="s">
        <v>554</v>
      </c>
      <c r="B101" s="127" t="s">
        <v>338</v>
      </c>
      <c r="C101" s="126">
        <v>268660.28999999998</v>
      </c>
    </row>
    <row r="102" spans="1:3" outlineLevel="2">
      <c r="A102" s="126" t="s">
        <v>554</v>
      </c>
      <c r="B102" s="127" t="s">
        <v>339</v>
      </c>
      <c r="C102" s="126">
        <v>298581.43</v>
      </c>
    </row>
    <row r="103" spans="1:3" outlineLevel="2">
      <c r="A103" s="126" t="s">
        <v>554</v>
      </c>
      <c r="B103" s="127" t="s">
        <v>340</v>
      </c>
      <c r="C103" s="126">
        <v>597913.71</v>
      </c>
    </row>
    <row r="104" spans="1:3" outlineLevel="2">
      <c r="A104" s="126" t="s">
        <v>554</v>
      </c>
      <c r="B104" s="127" t="s">
        <v>341</v>
      </c>
      <c r="C104" s="126">
        <v>140605.71</v>
      </c>
    </row>
    <row r="105" spans="1:3" outlineLevel="2">
      <c r="A105" s="126" t="s">
        <v>554</v>
      </c>
      <c r="B105" s="127" t="s">
        <v>342</v>
      </c>
      <c r="C105" s="126">
        <v>177168.86</v>
      </c>
    </row>
    <row r="106" spans="1:3" outlineLevel="2">
      <c r="A106" s="126" t="s">
        <v>554</v>
      </c>
      <c r="B106" s="127" t="s">
        <v>343</v>
      </c>
      <c r="C106" s="126">
        <v>141125.14000000001</v>
      </c>
    </row>
    <row r="107" spans="1:3" outlineLevel="2">
      <c r="A107" s="126" t="s">
        <v>554</v>
      </c>
      <c r="B107" s="127" t="s">
        <v>344</v>
      </c>
      <c r="C107" s="126">
        <v>124464.86</v>
      </c>
    </row>
    <row r="108" spans="1:3" outlineLevel="2">
      <c r="A108" s="126" t="s">
        <v>554</v>
      </c>
      <c r="B108" s="127" t="s">
        <v>345</v>
      </c>
      <c r="C108" s="126">
        <v>130695.43</v>
      </c>
    </row>
    <row r="109" spans="1:3" outlineLevel="2">
      <c r="A109" s="126" t="s">
        <v>554</v>
      </c>
      <c r="B109" s="127" t="s">
        <v>346</v>
      </c>
      <c r="C109" s="126">
        <v>468797.14</v>
      </c>
    </row>
    <row r="110" spans="1:3" outlineLevel="2">
      <c r="A110" s="126" t="s">
        <v>554</v>
      </c>
      <c r="B110" s="127" t="s">
        <v>616</v>
      </c>
      <c r="C110" s="126">
        <v>18018</v>
      </c>
    </row>
    <row r="111" spans="1:3" outlineLevel="2">
      <c r="A111" s="126" t="s">
        <v>554</v>
      </c>
      <c r="B111" s="127" t="s">
        <v>347</v>
      </c>
      <c r="C111" s="126">
        <v>45174.86</v>
      </c>
    </row>
    <row r="112" spans="1:3" outlineLevel="2">
      <c r="A112" s="126" t="s">
        <v>554</v>
      </c>
      <c r="B112" s="127" t="s">
        <v>348</v>
      </c>
      <c r="C112" s="126">
        <v>222534</v>
      </c>
    </row>
    <row r="113" spans="1:3" outlineLevel="2">
      <c r="A113" s="126" t="s">
        <v>554</v>
      </c>
      <c r="B113" s="127" t="s">
        <v>349</v>
      </c>
      <c r="C113" s="126">
        <v>77207.14</v>
      </c>
    </row>
    <row r="114" spans="1:3" outlineLevel="1">
      <c r="A114" s="126" t="s">
        <v>566</v>
      </c>
      <c r="B114" s="127"/>
      <c r="C114" s="126">
        <f>SUBTOTAL(9,C99:C113)</f>
        <v>3373724.5700000003</v>
      </c>
    </row>
    <row r="115" spans="1:3" outlineLevel="2">
      <c r="A115" s="126" t="s">
        <v>555</v>
      </c>
      <c r="B115" s="129" t="s">
        <v>266</v>
      </c>
      <c r="C115" s="126">
        <v>264120</v>
      </c>
    </row>
    <row r="116" spans="1:3" outlineLevel="2">
      <c r="A116" s="126" t="s">
        <v>555</v>
      </c>
      <c r="B116" s="129" t="s">
        <v>267</v>
      </c>
      <c r="C116" s="126">
        <v>199560</v>
      </c>
    </row>
    <row r="117" spans="1:3" outlineLevel="2">
      <c r="A117" s="126" t="s">
        <v>555</v>
      </c>
      <c r="B117" s="129" t="s">
        <v>268</v>
      </c>
      <c r="C117" s="126">
        <v>310956</v>
      </c>
    </row>
    <row r="118" spans="1:3" outlineLevel="2">
      <c r="A118" s="126" t="s">
        <v>555</v>
      </c>
      <c r="B118" s="129" t="s">
        <v>269</v>
      </c>
      <c r="C118" s="126">
        <v>273936</v>
      </c>
    </row>
    <row r="119" spans="1:3" outlineLevel="2">
      <c r="A119" s="126" t="s">
        <v>555</v>
      </c>
      <c r="B119" s="129" t="s">
        <v>270</v>
      </c>
      <c r="C119" s="126">
        <v>234891</v>
      </c>
    </row>
    <row r="120" spans="1:3" outlineLevel="2">
      <c r="A120" s="126" t="s">
        <v>555</v>
      </c>
      <c r="B120" s="129" t="s">
        <v>271</v>
      </c>
      <c r="C120" s="126">
        <v>168249</v>
      </c>
    </row>
    <row r="121" spans="1:3" outlineLevel="2">
      <c r="A121" s="126" t="s">
        <v>555</v>
      </c>
      <c r="B121" s="129" t="s">
        <v>272</v>
      </c>
      <c r="C121" s="126">
        <v>157056</v>
      </c>
    </row>
    <row r="122" spans="1:3" outlineLevel="2">
      <c r="A122" s="126" t="s">
        <v>555</v>
      </c>
      <c r="B122" s="129" t="s">
        <v>273</v>
      </c>
      <c r="C122" s="126">
        <v>101970</v>
      </c>
    </row>
    <row r="123" spans="1:3" outlineLevel="2">
      <c r="A123" s="126" t="s">
        <v>555</v>
      </c>
      <c r="B123" s="129" t="s">
        <v>274</v>
      </c>
      <c r="C123" s="126">
        <v>129819</v>
      </c>
    </row>
    <row r="124" spans="1:3" outlineLevel="2">
      <c r="A124" s="126" t="s">
        <v>555</v>
      </c>
      <c r="B124" s="129" t="s">
        <v>615</v>
      </c>
      <c r="C124" s="126">
        <v>4140</v>
      </c>
    </row>
    <row r="125" spans="1:3" outlineLevel="1">
      <c r="A125" s="126" t="s">
        <v>567</v>
      </c>
      <c r="B125" s="129"/>
      <c r="C125" s="126">
        <f>SUBTOTAL(9,C115:C124)</f>
        <v>1844697</v>
      </c>
    </row>
    <row r="126" spans="1:3">
      <c r="A126" s="126" t="s">
        <v>487</v>
      </c>
      <c r="B126" s="129"/>
      <c r="C126" s="126">
        <f>SUBTOTAL(9,C3:C124)</f>
        <v>22372935.720000003</v>
      </c>
    </row>
    <row r="127" spans="1:3">
      <c r="B127" s="131"/>
    </row>
  </sheetData>
  <mergeCells count="1">
    <mergeCell ref="A1:C1"/>
  </mergeCells>
  <phoneticPr fontId="3" type="noConversion"/>
  <pageMargins left="0.7" right="0.7" top="0.75" bottom="0.75" header="0.3" footer="0.3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5"/>
  <sheetViews>
    <sheetView topLeftCell="G1" workbookViewId="0">
      <selection activeCell="S4" sqref="S4:Z4"/>
    </sheetView>
  </sheetViews>
  <sheetFormatPr defaultColWidth="9" defaultRowHeight="11.25"/>
  <cols>
    <col min="1" max="1" width="4" style="137" hidden="1" customWidth="1"/>
    <col min="2" max="2" width="27.625" style="137" bestFit="1" customWidth="1"/>
    <col min="3" max="3" width="12.625" style="137" customWidth="1"/>
    <col min="4" max="13" width="9" style="137" customWidth="1"/>
    <col min="14" max="14" width="8.375" style="137" customWidth="1"/>
    <col min="15" max="15" width="9.625" style="137" customWidth="1"/>
    <col min="16" max="16" width="9.375" style="137" customWidth="1"/>
    <col min="17" max="17" width="12.5" style="137" customWidth="1"/>
    <col min="18" max="18" width="9.875" style="137" customWidth="1"/>
    <col min="19" max="19" width="14.75" style="137" customWidth="1"/>
    <col min="20" max="20" width="10.5" style="137" customWidth="1"/>
    <col min="21" max="21" width="9.75" style="137" bestFit="1" customWidth="1"/>
    <col min="22" max="22" width="9.125" style="137" bestFit="1" customWidth="1"/>
    <col min="23" max="23" width="9.75" style="137" bestFit="1" customWidth="1"/>
    <col min="24" max="24" width="9.125" style="137" bestFit="1" customWidth="1"/>
    <col min="25" max="25" width="12.375" style="137" customWidth="1"/>
    <col min="26" max="26" width="14.75" style="137" customWidth="1"/>
    <col min="27" max="27" width="14" style="137" customWidth="1"/>
    <col min="28" max="28" width="11.625" style="137" customWidth="1"/>
    <col min="29" max="16384" width="9" style="137"/>
  </cols>
  <sheetData>
    <row r="1" spans="1:28" ht="19.5" customHeight="1">
      <c r="A1" s="357"/>
      <c r="B1" s="358"/>
      <c r="C1" s="358"/>
      <c r="D1" s="358"/>
      <c r="E1" s="358"/>
      <c r="F1" s="358"/>
      <c r="G1" s="358"/>
      <c r="H1" s="358"/>
      <c r="I1" s="358"/>
      <c r="J1" s="358"/>
      <c r="K1" s="358"/>
      <c r="L1" s="358"/>
      <c r="M1" s="358"/>
      <c r="N1" s="358"/>
      <c r="O1" s="358"/>
      <c r="P1" s="358"/>
      <c r="Q1" s="358"/>
      <c r="R1" s="358"/>
      <c r="S1" s="358"/>
      <c r="T1" s="358"/>
      <c r="U1" s="358"/>
      <c r="V1" s="358"/>
      <c r="W1" s="358"/>
      <c r="X1" s="358"/>
      <c r="Y1" s="358"/>
      <c r="Z1" s="358"/>
      <c r="AA1" s="358"/>
    </row>
    <row r="2" spans="1:28" ht="39.950000000000003" customHeight="1">
      <c r="A2" s="359" t="s">
        <v>593</v>
      </c>
      <c r="B2" s="356" t="s">
        <v>594</v>
      </c>
      <c r="C2" s="356" t="s">
        <v>595</v>
      </c>
      <c r="D2" s="356" t="s">
        <v>596</v>
      </c>
      <c r="E2" s="356"/>
      <c r="F2" s="356"/>
      <c r="G2" s="356"/>
      <c r="H2" s="356"/>
      <c r="I2" s="361" t="s">
        <v>597</v>
      </c>
      <c r="J2" s="361"/>
      <c r="K2" s="361"/>
      <c r="L2" s="361"/>
      <c r="M2" s="361"/>
      <c r="N2" s="361" t="s">
        <v>598</v>
      </c>
      <c r="O2" s="361"/>
      <c r="P2" s="361"/>
      <c r="Q2" s="361"/>
      <c r="R2" s="361"/>
      <c r="S2" s="356" t="s">
        <v>614</v>
      </c>
      <c r="T2" s="356"/>
      <c r="U2" s="356"/>
      <c r="V2" s="356"/>
      <c r="W2" s="356"/>
      <c r="X2" s="356"/>
      <c r="Y2" s="356"/>
      <c r="Z2" s="356"/>
      <c r="AA2" s="356"/>
    </row>
    <row r="3" spans="1:28" ht="39.950000000000003" customHeight="1">
      <c r="A3" s="360"/>
      <c r="B3" s="356"/>
      <c r="C3" s="356"/>
      <c r="D3" s="138" t="s">
        <v>599</v>
      </c>
      <c r="E3" s="138" t="s">
        <v>600</v>
      </c>
      <c r="F3" s="138" t="s">
        <v>601</v>
      </c>
      <c r="G3" s="138" t="s">
        <v>602</v>
      </c>
      <c r="H3" s="139" t="s">
        <v>24</v>
      </c>
      <c r="I3" s="138" t="s">
        <v>599</v>
      </c>
      <c r="J3" s="138" t="s">
        <v>600</v>
      </c>
      <c r="K3" s="138" t="s">
        <v>601</v>
      </c>
      <c r="L3" s="138" t="s">
        <v>602</v>
      </c>
      <c r="M3" s="138" t="s">
        <v>24</v>
      </c>
      <c r="N3" s="138" t="s">
        <v>599</v>
      </c>
      <c r="O3" s="138" t="s">
        <v>600</v>
      </c>
      <c r="P3" s="138" t="s">
        <v>601</v>
      </c>
      <c r="Q3" s="138" t="s">
        <v>602</v>
      </c>
      <c r="R3" s="138" t="s">
        <v>24</v>
      </c>
      <c r="S3" s="138" t="s">
        <v>603</v>
      </c>
      <c r="T3" s="138" t="s">
        <v>604</v>
      </c>
      <c r="U3" s="138" t="s">
        <v>605</v>
      </c>
      <c r="V3" s="138" t="s">
        <v>606</v>
      </c>
      <c r="W3" s="138" t="s">
        <v>607</v>
      </c>
      <c r="X3" s="138" t="s">
        <v>608</v>
      </c>
      <c r="Y3" s="138" t="s">
        <v>613</v>
      </c>
      <c r="Z3" s="140" t="s">
        <v>609</v>
      </c>
      <c r="AA3" s="139" t="s">
        <v>531</v>
      </c>
    </row>
    <row r="4" spans="1:28" ht="39.950000000000003" customHeight="1">
      <c r="A4" s="141" t="s">
        <v>535</v>
      </c>
      <c r="B4" s="142" t="s">
        <v>610</v>
      </c>
      <c r="C4" s="142" t="s">
        <v>611</v>
      </c>
      <c r="D4" s="143">
        <v>0</v>
      </c>
      <c r="E4" s="143">
        <v>0</v>
      </c>
      <c r="F4" s="143">
        <v>0</v>
      </c>
      <c r="G4" s="143">
        <v>1</v>
      </c>
      <c r="H4" s="144">
        <f t="shared" ref="H4" si="0">SUM(D4:G4)</f>
        <v>1</v>
      </c>
      <c r="I4" s="143">
        <v>0</v>
      </c>
      <c r="J4" s="143">
        <v>0</v>
      </c>
      <c r="K4" s="143">
        <v>0</v>
      </c>
      <c r="L4" s="143">
        <v>1</v>
      </c>
      <c r="M4" s="144">
        <f t="shared" ref="M4" si="1">SUM(I4:L4)</f>
        <v>1</v>
      </c>
      <c r="N4" s="143">
        <v>0</v>
      </c>
      <c r="O4" s="143">
        <v>0</v>
      </c>
      <c r="P4" s="143">
        <v>0</v>
      </c>
      <c r="Q4" s="143">
        <v>1</v>
      </c>
      <c r="R4" s="144">
        <f t="shared" ref="R4" si="2">SUM(N4:Q4)</f>
        <v>1</v>
      </c>
      <c r="S4" s="144">
        <f>3950*12</f>
        <v>47400</v>
      </c>
      <c r="T4" s="144">
        <f t="shared" ref="T4" si="3">R4*4320</f>
        <v>4320</v>
      </c>
      <c r="U4" s="144">
        <f t="shared" ref="U4" si="4">R4*6000</f>
        <v>6000</v>
      </c>
      <c r="V4" s="144">
        <f t="shared" ref="V4" si="5">R4*2400</f>
        <v>2400</v>
      </c>
      <c r="W4" s="144">
        <f t="shared" ref="W4" si="6">R4*8800</f>
        <v>8800</v>
      </c>
      <c r="X4" s="144">
        <f t="shared" ref="X4" si="7">R4*800</f>
        <v>800</v>
      </c>
      <c r="Y4" s="144">
        <f t="shared" ref="Y4" si="8">R4*960</f>
        <v>960</v>
      </c>
      <c r="Z4" s="144">
        <f>ROUND((S4+W4+X4)*0.35756,2)</f>
        <v>20380.919999999998</v>
      </c>
      <c r="AA4" s="144">
        <f t="shared" ref="AA4" si="9">SUM(S4:Z4)</f>
        <v>91060.92</v>
      </c>
      <c r="AB4" s="145"/>
    </row>
    <row r="5" spans="1:28" ht="39.950000000000003" customHeight="1">
      <c r="A5" s="139"/>
      <c r="B5" s="140" t="s">
        <v>612</v>
      </c>
      <c r="C5" s="140"/>
      <c r="D5" s="146">
        <f t="shared" ref="D5:AA5" si="10">SUM(D4:D4)</f>
        <v>0</v>
      </c>
      <c r="E5" s="146">
        <f t="shared" si="10"/>
        <v>0</v>
      </c>
      <c r="F5" s="146">
        <f t="shared" si="10"/>
        <v>0</v>
      </c>
      <c r="G5" s="146">
        <f t="shared" si="10"/>
        <v>1</v>
      </c>
      <c r="H5" s="146">
        <f t="shared" si="10"/>
        <v>1</v>
      </c>
      <c r="I5" s="146">
        <f t="shared" si="10"/>
        <v>0</v>
      </c>
      <c r="J5" s="146">
        <f t="shared" si="10"/>
        <v>0</v>
      </c>
      <c r="K5" s="146">
        <f t="shared" si="10"/>
        <v>0</v>
      </c>
      <c r="L5" s="146">
        <f t="shared" si="10"/>
        <v>1</v>
      </c>
      <c r="M5" s="146">
        <f t="shared" si="10"/>
        <v>1</v>
      </c>
      <c r="N5" s="146">
        <f t="shared" si="10"/>
        <v>0</v>
      </c>
      <c r="O5" s="146">
        <f t="shared" si="10"/>
        <v>0</v>
      </c>
      <c r="P5" s="146">
        <f t="shared" si="10"/>
        <v>0</v>
      </c>
      <c r="Q5" s="146">
        <f t="shared" si="10"/>
        <v>1</v>
      </c>
      <c r="R5" s="146">
        <f t="shared" si="10"/>
        <v>1</v>
      </c>
      <c r="S5" s="146">
        <f t="shared" si="10"/>
        <v>47400</v>
      </c>
      <c r="T5" s="146">
        <f t="shared" si="10"/>
        <v>4320</v>
      </c>
      <c r="U5" s="146">
        <f t="shared" si="10"/>
        <v>6000</v>
      </c>
      <c r="V5" s="146">
        <f t="shared" si="10"/>
        <v>2400</v>
      </c>
      <c r="W5" s="146">
        <f t="shared" si="10"/>
        <v>8800</v>
      </c>
      <c r="X5" s="146">
        <f t="shared" si="10"/>
        <v>800</v>
      </c>
      <c r="Y5" s="146">
        <f t="shared" si="10"/>
        <v>960</v>
      </c>
      <c r="Z5" s="146">
        <f t="shared" si="10"/>
        <v>20380.919999999998</v>
      </c>
      <c r="AA5" s="146">
        <f t="shared" si="10"/>
        <v>91060.92</v>
      </c>
      <c r="AB5" s="145"/>
    </row>
  </sheetData>
  <mergeCells count="8">
    <mergeCell ref="S2:AA2"/>
    <mergeCell ref="A1:AA1"/>
    <mergeCell ref="A2:A3"/>
    <mergeCell ref="B2:B3"/>
    <mergeCell ref="C2:C3"/>
    <mergeCell ref="D2:H2"/>
    <mergeCell ref="I2:M2"/>
    <mergeCell ref="N2:R2"/>
  </mergeCells>
  <phoneticPr fontId="3" type="noConversion"/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4"/>
  <sheetViews>
    <sheetView tabSelected="1" workbookViewId="0">
      <selection activeCell="F4" sqref="F4"/>
    </sheetView>
  </sheetViews>
  <sheetFormatPr defaultColWidth="9" defaultRowHeight="13.5"/>
  <cols>
    <col min="1" max="1" width="10.625" style="225" customWidth="1"/>
    <col min="2" max="2" width="30.625" style="329" customWidth="1"/>
    <col min="3" max="3" width="30.625" style="225" customWidth="1"/>
    <col min="4" max="4" width="20.5" style="225" bestFit="1" customWidth="1"/>
    <col min="5" max="5" width="18.625" style="225" hidden="1" customWidth="1"/>
    <col min="6" max="6" width="18.375" style="225" bestFit="1" customWidth="1"/>
    <col min="7" max="7" width="14.375" style="225" hidden="1" customWidth="1"/>
    <col min="8" max="8" width="14.25" style="225" hidden="1" customWidth="1"/>
    <col min="9" max="252" width="9" style="225"/>
    <col min="253" max="253" width="6.625" style="225" customWidth="1"/>
    <col min="254" max="255" width="21.625" style="225" customWidth="1"/>
    <col min="256" max="256" width="16.125" style="225" bestFit="1" customWidth="1"/>
    <col min="257" max="257" width="13.875" style="225" bestFit="1" customWidth="1"/>
    <col min="258" max="258" width="17.25" style="225" bestFit="1" customWidth="1"/>
    <col min="259" max="260" width="20.5" style="225" bestFit="1" customWidth="1"/>
    <col min="261" max="261" width="0" style="225" hidden="1" customWidth="1"/>
    <col min="262" max="262" width="18.375" style="225" bestFit="1" customWidth="1"/>
    <col min="263" max="264" width="0" style="225" hidden="1" customWidth="1"/>
    <col min="265" max="508" width="9" style="225"/>
    <col min="509" max="509" width="6.625" style="225" customWidth="1"/>
    <col min="510" max="511" width="21.625" style="225" customWidth="1"/>
    <col min="512" max="512" width="16.125" style="225" bestFit="1" customWidth="1"/>
    <col min="513" max="513" width="13.875" style="225" bestFit="1" customWidth="1"/>
    <col min="514" max="514" width="17.25" style="225" bestFit="1" customWidth="1"/>
    <col min="515" max="516" width="20.5" style="225" bestFit="1" customWidth="1"/>
    <col min="517" max="517" width="0" style="225" hidden="1" customWidth="1"/>
    <col min="518" max="518" width="18.375" style="225" bestFit="1" customWidth="1"/>
    <col min="519" max="520" width="0" style="225" hidden="1" customWidth="1"/>
    <col min="521" max="764" width="9" style="225"/>
    <col min="765" max="765" width="6.625" style="225" customWidth="1"/>
    <col min="766" max="767" width="21.625" style="225" customWidth="1"/>
    <col min="768" max="768" width="16.125" style="225" bestFit="1" customWidth="1"/>
    <col min="769" max="769" width="13.875" style="225" bestFit="1" customWidth="1"/>
    <col min="770" max="770" width="17.25" style="225" bestFit="1" customWidth="1"/>
    <col min="771" max="772" width="20.5" style="225" bestFit="1" customWidth="1"/>
    <col min="773" max="773" width="0" style="225" hidden="1" customWidth="1"/>
    <col min="774" max="774" width="18.375" style="225" bestFit="1" customWidth="1"/>
    <col min="775" max="776" width="0" style="225" hidden="1" customWidth="1"/>
    <col min="777" max="1020" width="9" style="225"/>
    <col min="1021" max="1021" width="6.625" style="225" customWidth="1"/>
    <col min="1022" max="1023" width="21.625" style="225" customWidth="1"/>
    <col min="1024" max="1024" width="16.125" style="225" bestFit="1" customWidth="1"/>
    <col min="1025" max="1025" width="13.875" style="225" bestFit="1" customWidth="1"/>
    <col min="1026" max="1026" width="17.25" style="225" bestFit="1" customWidth="1"/>
    <col min="1027" max="1028" width="20.5" style="225" bestFit="1" customWidth="1"/>
    <col min="1029" max="1029" width="0" style="225" hidden="1" customWidth="1"/>
    <col min="1030" max="1030" width="18.375" style="225" bestFit="1" customWidth="1"/>
    <col min="1031" max="1032" width="0" style="225" hidden="1" customWidth="1"/>
    <col min="1033" max="1276" width="9" style="225"/>
    <col min="1277" max="1277" width="6.625" style="225" customWidth="1"/>
    <col min="1278" max="1279" width="21.625" style="225" customWidth="1"/>
    <col min="1280" max="1280" width="16.125" style="225" bestFit="1" customWidth="1"/>
    <col min="1281" max="1281" width="13.875" style="225" bestFit="1" customWidth="1"/>
    <col min="1282" max="1282" width="17.25" style="225" bestFit="1" customWidth="1"/>
    <col min="1283" max="1284" width="20.5" style="225" bestFit="1" customWidth="1"/>
    <col min="1285" max="1285" width="0" style="225" hidden="1" customWidth="1"/>
    <col min="1286" max="1286" width="18.375" style="225" bestFit="1" customWidth="1"/>
    <col min="1287" max="1288" width="0" style="225" hidden="1" customWidth="1"/>
    <col min="1289" max="1532" width="9" style="225"/>
    <col min="1533" max="1533" width="6.625" style="225" customWidth="1"/>
    <col min="1534" max="1535" width="21.625" style="225" customWidth="1"/>
    <col min="1536" max="1536" width="16.125" style="225" bestFit="1" customWidth="1"/>
    <col min="1537" max="1537" width="13.875" style="225" bestFit="1" customWidth="1"/>
    <col min="1538" max="1538" width="17.25" style="225" bestFit="1" customWidth="1"/>
    <col min="1539" max="1540" width="20.5" style="225" bestFit="1" customWidth="1"/>
    <col min="1541" max="1541" width="0" style="225" hidden="1" customWidth="1"/>
    <col min="1542" max="1542" width="18.375" style="225" bestFit="1" customWidth="1"/>
    <col min="1543" max="1544" width="0" style="225" hidden="1" customWidth="1"/>
    <col min="1545" max="1788" width="9" style="225"/>
    <col min="1789" max="1789" width="6.625" style="225" customWidth="1"/>
    <col min="1790" max="1791" width="21.625" style="225" customWidth="1"/>
    <col min="1792" max="1792" width="16.125" style="225" bestFit="1" customWidth="1"/>
    <col min="1793" max="1793" width="13.875" style="225" bestFit="1" customWidth="1"/>
    <col min="1794" max="1794" width="17.25" style="225" bestFit="1" customWidth="1"/>
    <col min="1795" max="1796" width="20.5" style="225" bestFit="1" customWidth="1"/>
    <col min="1797" max="1797" width="0" style="225" hidden="1" customWidth="1"/>
    <col min="1798" max="1798" width="18.375" style="225" bestFit="1" customWidth="1"/>
    <col min="1799" max="1800" width="0" style="225" hidden="1" customWidth="1"/>
    <col min="1801" max="2044" width="9" style="225"/>
    <col min="2045" max="2045" width="6.625" style="225" customWidth="1"/>
    <col min="2046" max="2047" width="21.625" style="225" customWidth="1"/>
    <col min="2048" max="2048" width="16.125" style="225" bestFit="1" customWidth="1"/>
    <col min="2049" max="2049" width="13.875" style="225" bestFit="1" customWidth="1"/>
    <col min="2050" max="2050" width="17.25" style="225" bestFit="1" customWidth="1"/>
    <col min="2051" max="2052" width="20.5" style="225" bestFit="1" customWidth="1"/>
    <col min="2053" max="2053" width="0" style="225" hidden="1" customWidth="1"/>
    <col min="2054" max="2054" width="18.375" style="225" bestFit="1" customWidth="1"/>
    <col min="2055" max="2056" width="0" style="225" hidden="1" customWidth="1"/>
    <col min="2057" max="2300" width="9" style="225"/>
    <col min="2301" max="2301" width="6.625" style="225" customWidth="1"/>
    <col min="2302" max="2303" width="21.625" style="225" customWidth="1"/>
    <col min="2304" max="2304" width="16.125" style="225" bestFit="1" customWidth="1"/>
    <col min="2305" max="2305" width="13.875" style="225" bestFit="1" customWidth="1"/>
    <col min="2306" max="2306" width="17.25" style="225" bestFit="1" customWidth="1"/>
    <col min="2307" max="2308" width="20.5" style="225" bestFit="1" customWidth="1"/>
    <col min="2309" max="2309" width="0" style="225" hidden="1" customWidth="1"/>
    <col min="2310" max="2310" width="18.375" style="225" bestFit="1" customWidth="1"/>
    <col min="2311" max="2312" width="0" style="225" hidden="1" customWidth="1"/>
    <col min="2313" max="2556" width="9" style="225"/>
    <col min="2557" max="2557" width="6.625" style="225" customWidth="1"/>
    <col min="2558" max="2559" width="21.625" style="225" customWidth="1"/>
    <col min="2560" max="2560" width="16.125" style="225" bestFit="1" customWidth="1"/>
    <col min="2561" max="2561" width="13.875" style="225" bestFit="1" customWidth="1"/>
    <col min="2562" max="2562" width="17.25" style="225" bestFit="1" customWidth="1"/>
    <col min="2563" max="2564" width="20.5" style="225" bestFit="1" customWidth="1"/>
    <col min="2565" max="2565" width="0" style="225" hidden="1" customWidth="1"/>
    <col min="2566" max="2566" width="18.375" style="225" bestFit="1" customWidth="1"/>
    <col min="2567" max="2568" width="0" style="225" hidden="1" customWidth="1"/>
    <col min="2569" max="2812" width="9" style="225"/>
    <col min="2813" max="2813" width="6.625" style="225" customWidth="1"/>
    <col min="2814" max="2815" width="21.625" style="225" customWidth="1"/>
    <col min="2816" max="2816" width="16.125" style="225" bestFit="1" customWidth="1"/>
    <col min="2817" max="2817" width="13.875" style="225" bestFit="1" customWidth="1"/>
    <col min="2818" max="2818" width="17.25" style="225" bestFit="1" customWidth="1"/>
    <col min="2819" max="2820" width="20.5" style="225" bestFit="1" customWidth="1"/>
    <col min="2821" max="2821" width="0" style="225" hidden="1" customWidth="1"/>
    <col min="2822" max="2822" width="18.375" style="225" bestFit="1" customWidth="1"/>
    <col min="2823" max="2824" width="0" style="225" hidden="1" customWidth="1"/>
    <col min="2825" max="3068" width="9" style="225"/>
    <col min="3069" max="3069" width="6.625" style="225" customWidth="1"/>
    <col min="3070" max="3071" width="21.625" style="225" customWidth="1"/>
    <col min="3072" max="3072" width="16.125" style="225" bestFit="1" customWidth="1"/>
    <col min="3073" max="3073" width="13.875" style="225" bestFit="1" customWidth="1"/>
    <col min="3074" max="3074" width="17.25" style="225" bestFit="1" customWidth="1"/>
    <col min="3075" max="3076" width="20.5" style="225" bestFit="1" customWidth="1"/>
    <col min="3077" max="3077" width="0" style="225" hidden="1" customWidth="1"/>
    <col min="3078" max="3078" width="18.375" style="225" bestFit="1" customWidth="1"/>
    <col min="3079" max="3080" width="0" style="225" hidden="1" customWidth="1"/>
    <col min="3081" max="3324" width="9" style="225"/>
    <col min="3325" max="3325" width="6.625" style="225" customWidth="1"/>
    <col min="3326" max="3327" width="21.625" style="225" customWidth="1"/>
    <col min="3328" max="3328" width="16.125" style="225" bestFit="1" customWidth="1"/>
    <col min="3329" max="3329" width="13.875" style="225" bestFit="1" customWidth="1"/>
    <col min="3330" max="3330" width="17.25" style="225" bestFit="1" customWidth="1"/>
    <col min="3331" max="3332" width="20.5" style="225" bestFit="1" customWidth="1"/>
    <col min="3333" max="3333" width="0" style="225" hidden="1" customWidth="1"/>
    <col min="3334" max="3334" width="18.375" style="225" bestFit="1" customWidth="1"/>
    <col min="3335" max="3336" width="0" style="225" hidden="1" customWidth="1"/>
    <col min="3337" max="3580" width="9" style="225"/>
    <col min="3581" max="3581" width="6.625" style="225" customWidth="1"/>
    <col min="3582" max="3583" width="21.625" style="225" customWidth="1"/>
    <col min="3584" max="3584" width="16.125" style="225" bestFit="1" customWidth="1"/>
    <col min="3585" max="3585" width="13.875" style="225" bestFit="1" customWidth="1"/>
    <col min="3586" max="3586" width="17.25" style="225" bestFit="1" customWidth="1"/>
    <col min="3587" max="3588" width="20.5" style="225" bestFit="1" customWidth="1"/>
    <col min="3589" max="3589" width="0" style="225" hidden="1" customWidth="1"/>
    <col min="3590" max="3590" width="18.375" style="225" bestFit="1" customWidth="1"/>
    <col min="3591" max="3592" width="0" style="225" hidden="1" customWidth="1"/>
    <col min="3593" max="3836" width="9" style="225"/>
    <col min="3837" max="3837" width="6.625" style="225" customWidth="1"/>
    <col min="3838" max="3839" width="21.625" style="225" customWidth="1"/>
    <col min="3840" max="3840" width="16.125" style="225" bestFit="1" customWidth="1"/>
    <col min="3841" max="3841" width="13.875" style="225" bestFit="1" customWidth="1"/>
    <col min="3842" max="3842" width="17.25" style="225" bestFit="1" customWidth="1"/>
    <col min="3843" max="3844" width="20.5" style="225" bestFit="1" customWidth="1"/>
    <col min="3845" max="3845" width="0" style="225" hidden="1" customWidth="1"/>
    <col min="3846" max="3846" width="18.375" style="225" bestFit="1" customWidth="1"/>
    <col min="3847" max="3848" width="0" style="225" hidden="1" customWidth="1"/>
    <col min="3849" max="4092" width="9" style="225"/>
    <col min="4093" max="4093" width="6.625" style="225" customWidth="1"/>
    <col min="4094" max="4095" width="21.625" style="225" customWidth="1"/>
    <col min="4096" max="4096" width="16.125" style="225" bestFit="1" customWidth="1"/>
    <col min="4097" max="4097" width="13.875" style="225" bestFit="1" customWidth="1"/>
    <col min="4098" max="4098" width="17.25" style="225" bestFit="1" customWidth="1"/>
    <col min="4099" max="4100" width="20.5" style="225" bestFit="1" customWidth="1"/>
    <col min="4101" max="4101" width="0" style="225" hidden="1" customWidth="1"/>
    <col min="4102" max="4102" width="18.375" style="225" bestFit="1" customWidth="1"/>
    <col min="4103" max="4104" width="0" style="225" hidden="1" customWidth="1"/>
    <col min="4105" max="4348" width="9" style="225"/>
    <col min="4349" max="4349" width="6.625" style="225" customWidth="1"/>
    <col min="4350" max="4351" width="21.625" style="225" customWidth="1"/>
    <col min="4352" max="4352" width="16.125" style="225" bestFit="1" customWidth="1"/>
    <col min="4353" max="4353" width="13.875" style="225" bestFit="1" customWidth="1"/>
    <col min="4354" max="4354" width="17.25" style="225" bestFit="1" customWidth="1"/>
    <col min="4355" max="4356" width="20.5" style="225" bestFit="1" customWidth="1"/>
    <col min="4357" max="4357" width="0" style="225" hidden="1" customWidth="1"/>
    <col min="4358" max="4358" width="18.375" style="225" bestFit="1" customWidth="1"/>
    <col min="4359" max="4360" width="0" style="225" hidden="1" customWidth="1"/>
    <col min="4361" max="4604" width="9" style="225"/>
    <col min="4605" max="4605" width="6.625" style="225" customWidth="1"/>
    <col min="4606" max="4607" width="21.625" style="225" customWidth="1"/>
    <col min="4608" max="4608" width="16.125" style="225" bestFit="1" customWidth="1"/>
    <col min="4609" max="4609" width="13.875" style="225" bestFit="1" customWidth="1"/>
    <col min="4610" max="4610" width="17.25" style="225" bestFit="1" customWidth="1"/>
    <col min="4611" max="4612" width="20.5" style="225" bestFit="1" customWidth="1"/>
    <col min="4613" max="4613" width="0" style="225" hidden="1" customWidth="1"/>
    <col min="4614" max="4614" width="18.375" style="225" bestFit="1" customWidth="1"/>
    <col min="4615" max="4616" width="0" style="225" hidden="1" customWidth="1"/>
    <col min="4617" max="4860" width="9" style="225"/>
    <col min="4861" max="4861" width="6.625" style="225" customWidth="1"/>
    <col min="4862" max="4863" width="21.625" style="225" customWidth="1"/>
    <col min="4864" max="4864" width="16.125" style="225" bestFit="1" customWidth="1"/>
    <col min="4865" max="4865" width="13.875" style="225" bestFit="1" customWidth="1"/>
    <col min="4866" max="4866" width="17.25" style="225" bestFit="1" customWidth="1"/>
    <col min="4867" max="4868" width="20.5" style="225" bestFit="1" customWidth="1"/>
    <col min="4869" max="4869" width="0" style="225" hidden="1" customWidth="1"/>
    <col min="4870" max="4870" width="18.375" style="225" bestFit="1" customWidth="1"/>
    <col min="4871" max="4872" width="0" style="225" hidden="1" customWidth="1"/>
    <col min="4873" max="5116" width="9" style="225"/>
    <col min="5117" max="5117" width="6.625" style="225" customWidth="1"/>
    <col min="5118" max="5119" width="21.625" style="225" customWidth="1"/>
    <col min="5120" max="5120" width="16.125" style="225" bestFit="1" customWidth="1"/>
    <col min="5121" max="5121" width="13.875" style="225" bestFit="1" customWidth="1"/>
    <col min="5122" max="5122" width="17.25" style="225" bestFit="1" customWidth="1"/>
    <col min="5123" max="5124" width="20.5" style="225" bestFit="1" customWidth="1"/>
    <col min="5125" max="5125" width="0" style="225" hidden="1" customWidth="1"/>
    <col min="5126" max="5126" width="18.375" style="225" bestFit="1" customWidth="1"/>
    <col min="5127" max="5128" width="0" style="225" hidden="1" customWidth="1"/>
    <col min="5129" max="5372" width="9" style="225"/>
    <col min="5373" max="5373" width="6.625" style="225" customWidth="1"/>
    <col min="5374" max="5375" width="21.625" style="225" customWidth="1"/>
    <col min="5376" max="5376" width="16.125" style="225" bestFit="1" customWidth="1"/>
    <col min="5377" max="5377" width="13.875" style="225" bestFit="1" customWidth="1"/>
    <col min="5378" max="5378" width="17.25" style="225" bestFit="1" customWidth="1"/>
    <col min="5379" max="5380" width="20.5" style="225" bestFit="1" customWidth="1"/>
    <col min="5381" max="5381" width="0" style="225" hidden="1" customWidth="1"/>
    <col min="5382" max="5382" width="18.375" style="225" bestFit="1" customWidth="1"/>
    <col min="5383" max="5384" width="0" style="225" hidden="1" customWidth="1"/>
    <col min="5385" max="5628" width="9" style="225"/>
    <col min="5629" max="5629" width="6.625" style="225" customWidth="1"/>
    <col min="5630" max="5631" width="21.625" style="225" customWidth="1"/>
    <col min="5632" max="5632" width="16.125" style="225" bestFit="1" customWidth="1"/>
    <col min="5633" max="5633" width="13.875" style="225" bestFit="1" customWidth="1"/>
    <col min="5634" max="5634" width="17.25" style="225" bestFit="1" customWidth="1"/>
    <col min="5635" max="5636" width="20.5" style="225" bestFit="1" customWidth="1"/>
    <col min="5637" max="5637" width="0" style="225" hidden="1" customWidth="1"/>
    <col min="5638" max="5638" width="18.375" style="225" bestFit="1" customWidth="1"/>
    <col min="5639" max="5640" width="0" style="225" hidden="1" customWidth="1"/>
    <col min="5641" max="5884" width="9" style="225"/>
    <col min="5885" max="5885" width="6.625" style="225" customWidth="1"/>
    <col min="5886" max="5887" width="21.625" style="225" customWidth="1"/>
    <col min="5888" max="5888" width="16.125" style="225" bestFit="1" customWidth="1"/>
    <col min="5889" max="5889" width="13.875" style="225" bestFit="1" customWidth="1"/>
    <col min="5890" max="5890" width="17.25" style="225" bestFit="1" customWidth="1"/>
    <col min="5891" max="5892" width="20.5" style="225" bestFit="1" customWidth="1"/>
    <col min="5893" max="5893" width="0" style="225" hidden="1" customWidth="1"/>
    <col min="5894" max="5894" width="18.375" style="225" bestFit="1" customWidth="1"/>
    <col min="5895" max="5896" width="0" style="225" hidden="1" customWidth="1"/>
    <col min="5897" max="6140" width="9" style="225"/>
    <col min="6141" max="6141" width="6.625" style="225" customWidth="1"/>
    <col min="6142" max="6143" width="21.625" style="225" customWidth="1"/>
    <col min="6144" max="6144" width="16.125" style="225" bestFit="1" customWidth="1"/>
    <col min="6145" max="6145" width="13.875" style="225" bestFit="1" customWidth="1"/>
    <col min="6146" max="6146" width="17.25" style="225" bestFit="1" customWidth="1"/>
    <col min="6147" max="6148" width="20.5" style="225" bestFit="1" customWidth="1"/>
    <col min="6149" max="6149" width="0" style="225" hidden="1" customWidth="1"/>
    <col min="6150" max="6150" width="18.375" style="225" bestFit="1" customWidth="1"/>
    <col min="6151" max="6152" width="0" style="225" hidden="1" customWidth="1"/>
    <col min="6153" max="6396" width="9" style="225"/>
    <col min="6397" max="6397" width="6.625" style="225" customWidth="1"/>
    <col min="6398" max="6399" width="21.625" style="225" customWidth="1"/>
    <col min="6400" max="6400" width="16.125" style="225" bestFit="1" customWidth="1"/>
    <col min="6401" max="6401" width="13.875" style="225" bestFit="1" customWidth="1"/>
    <col min="6402" max="6402" width="17.25" style="225" bestFit="1" customWidth="1"/>
    <col min="6403" max="6404" width="20.5" style="225" bestFit="1" customWidth="1"/>
    <col min="6405" max="6405" width="0" style="225" hidden="1" customWidth="1"/>
    <col min="6406" max="6406" width="18.375" style="225" bestFit="1" customWidth="1"/>
    <col min="6407" max="6408" width="0" style="225" hidden="1" customWidth="1"/>
    <col min="6409" max="6652" width="9" style="225"/>
    <col min="6653" max="6653" width="6.625" style="225" customWidth="1"/>
    <col min="6654" max="6655" width="21.625" style="225" customWidth="1"/>
    <col min="6656" max="6656" width="16.125" style="225" bestFit="1" customWidth="1"/>
    <col min="6657" max="6657" width="13.875" style="225" bestFit="1" customWidth="1"/>
    <col min="6658" max="6658" width="17.25" style="225" bestFit="1" customWidth="1"/>
    <col min="6659" max="6660" width="20.5" style="225" bestFit="1" customWidth="1"/>
    <col min="6661" max="6661" width="0" style="225" hidden="1" customWidth="1"/>
    <col min="6662" max="6662" width="18.375" style="225" bestFit="1" customWidth="1"/>
    <col min="6663" max="6664" width="0" style="225" hidden="1" customWidth="1"/>
    <col min="6665" max="6908" width="9" style="225"/>
    <col min="6909" max="6909" width="6.625" style="225" customWidth="1"/>
    <col min="6910" max="6911" width="21.625" style="225" customWidth="1"/>
    <col min="6912" max="6912" width="16.125" style="225" bestFit="1" customWidth="1"/>
    <col min="6913" max="6913" width="13.875" style="225" bestFit="1" customWidth="1"/>
    <col min="6914" max="6914" width="17.25" style="225" bestFit="1" customWidth="1"/>
    <col min="6915" max="6916" width="20.5" style="225" bestFit="1" customWidth="1"/>
    <col min="6917" max="6917" width="0" style="225" hidden="1" customWidth="1"/>
    <col min="6918" max="6918" width="18.375" style="225" bestFit="1" customWidth="1"/>
    <col min="6919" max="6920" width="0" style="225" hidden="1" customWidth="1"/>
    <col min="6921" max="7164" width="9" style="225"/>
    <col min="7165" max="7165" width="6.625" style="225" customWidth="1"/>
    <col min="7166" max="7167" width="21.625" style="225" customWidth="1"/>
    <col min="7168" max="7168" width="16.125" style="225" bestFit="1" customWidth="1"/>
    <col min="7169" max="7169" width="13.875" style="225" bestFit="1" customWidth="1"/>
    <col min="7170" max="7170" width="17.25" style="225" bestFit="1" customWidth="1"/>
    <col min="7171" max="7172" width="20.5" style="225" bestFit="1" customWidth="1"/>
    <col min="7173" max="7173" width="0" style="225" hidden="1" customWidth="1"/>
    <col min="7174" max="7174" width="18.375" style="225" bestFit="1" customWidth="1"/>
    <col min="7175" max="7176" width="0" style="225" hidden="1" customWidth="1"/>
    <col min="7177" max="7420" width="9" style="225"/>
    <col min="7421" max="7421" width="6.625" style="225" customWidth="1"/>
    <col min="7422" max="7423" width="21.625" style="225" customWidth="1"/>
    <col min="7424" max="7424" width="16.125" style="225" bestFit="1" customWidth="1"/>
    <col min="7425" max="7425" width="13.875" style="225" bestFit="1" customWidth="1"/>
    <col min="7426" max="7426" width="17.25" style="225" bestFit="1" customWidth="1"/>
    <col min="7427" max="7428" width="20.5" style="225" bestFit="1" customWidth="1"/>
    <col min="7429" max="7429" width="0" style="225" hidden="1" customWidth="1"/>
    <col min="7430" max="7430" width="18.375" style="225" bestFit="1" customWidth="1"/>
    <col min="7431" max="7432" width="0" style="225" hidden="1" customWidth="1"/>
    <col min="7433" max="7676" width="9" style="225"/>
    <col min="7677" max="7677" width="6.625" style="225" customWidth="1"/>
    <col min="7678" max="7679" width="21.625" style="225" customWidth="1"/>
    <col min="7680" max="7680" width="16.125" style="225" bestFit="1" customWidth="1"/>
    <col min="7681" max="7681" width="13.875" style="225" bestFit="1" customWidth="1"/>
    <col min="7682" max="7682" width="17.25" style="225" bestFit="1" customWidth="1"/>
    <col min="7683" max="7684" width="20.5" style="225" bestFit="1" customWidth="1"/>
    <col min="7685" max="7685" width="0" style="225" hidden="1" customWidth="1"/>
    <col min="7686" max="7686" width="18.375" style="225" bestFit="1" customWidth="1"/>
    <col min="7687" max="7688" width="0" style="225" hidden="1" customWidth="1"/>
    <col min="7689" max="7932" width="9" style="225"/>
    <col min="7933" max="7933" width="6.625" style="225" customWidth="1"/>
    <col min="7934" max="7935" width="21.625" style="225" customWidth="1"/>
    <col min="7936" max="7936" width="16.125" style="225" bestFit="1" customWidth="1"/>
    <col min="7937" max="7937" width="13.875" style="225" bestFit="1" customWidth="1"/>
    <col min="7938" max="7938" width="17.25" style="225" bestFit="1" customWidth="1"/>
    <col min="7939" max="7940" width="20.5" style="225" bestFit="1" customWidth="1"/>
    <col min="7941" max="7941" width="0" style="225" hidden="1" customWidth="1"/>
    <col min="7942" max="7942" width="18.375" style="225" bestFit="1" customWidth="1"/>
    <col min="7943" max="7944" width="0" style="225" hidden="1" customWidth="1"/>
    <col min="7945" max="8188" width="9" style="225"/>
    <col min="8189" max="8189" width="6.625" style="225" customWidth="1"/>
    <col min="8190" max="8191" width="21.625" style="225" customWidth="1"/>
    <col min="8192" max="8192" width="16.125" style="225" bestFit="1" customWidth="1"/>
    <col min="8193" max="8193" width="13.875" style="225" bestFit="1" customWidth="1"/>
    <col min="8194" max="8194" width="17.25" style="225" bestFit="1" customWidth="1"/>
    <col min="8195" max="8196" width="20.5" style="225" bestFit="1" customWidth="1"/>
    <col min="8197" max="8197" width="0" style="225" hidden="1" customWidth="1"/>
    <col min="8198" max="8198" width="18.375" style="225" bestFit="1" customWidth="1"/>
    <col min="8199" max="8200" width="0" style="225" hidden="1" customWidth="1"/>
    <col min="8201" max="8444" width="9" style="225"/>
    <col min="8445" max="8445" width="6.625" style="225" customWidth="1"/>
    <col min="8446" max="8447" width="21.625" style="225" customWidth="1"/>
    <col min="8448" max="8448" width="16.125" style="225" bestFit="1" customWidth="1"/>
    <col min="8449" max="8449" width="13.875" style="225" bestFit="1" customWidth="1"/>
    <col min="8450" max="8450" width="17.25" style="225" bestFit="1" customWidth="1"/>
    <col min="8451" max="8452" width="20.5" style="225" bestFit="1" customWidth="1"/>
    <col min="8453" max="8453" width="0" style="225" hidden="1" customWidth="1"/>
    <col min="8454" max="8454" width="18.375" style="225" bestFit="1" customWidth="1"/>
    <col min="8455" max="8456" width="0" style="225" hidden="1" customWidth="1"/>
    <col min="8457" max="8700" width="9" style="225"/>
    <col min="8701" max="8701" width="6.625" style="225" customWidth="1"/>
    <col min="8702" max="8703" width="21.625" style="225" customWidth="1"/>
    <col min="8704" max="8704" width="16.125" style="225" bestFit="1" customWidth="1"/>
    <col min="8705" max="8705" width="13.875" style="225" bestFit="1" customWidth="1"/>
    <col min="8706" max="8706" width="17.25" style="225" bestFit="1" customWidth="1"/>
    <col min="8707" max="8708" width="20.5" style="225" bestFit="1" customWidth="1"/>
    <col min="8709" max="8709" width="0" style="225" hidden="1" customWidth="1"/>
    <col min="8710" max="8710" width="18.375" style="225" bestFit="1" customWidth="1"/>
    <col min="8711" max="8712" width="0" style="225" hidden="1" customWidth="1"/>
    <col min="8713" max="8956" width="9" style="225"/>
    <col min="8957" max="8957" width="6.625" style="225" customWidth="1"/>
    <col min="8958" max="8959" width="21.625" style="225" customWidth="1"/>
    <col min="8960" max="8960" width="16.125" style="225" bestFit="1" customWidth="1"/>
    <col min="8961" max="8961" width="13.875" style="225" bestFit="1" customWidth="1"/>
    <col min="8962" max="8962" width="17.25" style="225" bestFit="1" customWidth="1"/>
    <col min="8963" max="8964" width="20.5" style="225" bestFit="1" customWidth="1"/>
    <col min="8965" max="8965" width="0" style="225" hidden="1" customWidth="1"/>
    <col min="8966" max="8966" width="18.375" style="225" bestFit="1" customWidth="1"/>
    <col min="8967" max="8968" width="0" style="225" hidden="1" customWidth="1"/>
    <col min="8969" max="9212" width="9" style="225"/>
    <col min="9213" max="9213" width="6.625" style="225" customWidth="1"/>
    <col min="9214" max="9215" width="21.625" style="225" customWidth="1"/>
    <col min="9216" max="9216" width="16.125" style="225" bestFit="1" customWidth="1"/>
    <col min="9217" max="9217" width="13.875" style="225" bestFit="1" customWidth="1"/>
    <col min="9218" max="9218" width="17.25" style="225" bestFit="1" customWidth="1"/>
    <col min="9219" max="9220" width="20.5" style="225" bestFit="1" customWidth="1"/>
    <col min="9221" max="9221" width="0" style="225" hidden="1" customWidth="1"/>
    <col min="9222" max="9222" width="18.375" style="225" bestFit="1" customWidth="1"/>
    <col min="9223" max="9224" width="0" style="225" hidden="1" customWidth="1"/>
    <col min="9225" max="9468" width="9" style="225"/>
    <col min="9469" max="9469" width="6.625" style="225" customWidth="1"/>
    <col min="9470" max="9471" width="21.625" style="225" customWidth="1"/>
    <col min="9472" max="9472" width="16.125" style="225" bestFit="1" customWidth="1"/>
    <col min="9473" max="9473" width="13.875" style="225" bestFit="1" customWidth="1"/>
    <col min="9474" max="9474" width="17.25" style="225" bestFit="1" customWidth="1"/>
    <col min="9475" max="9476" width="20.5" style="225" bestFit="1" customWidth="1"/>
    <col min="9477" max="9477" width="0" style="225" hidden="1" customWidth="1"/>
    <col min="9478" max="9478" width="18.375" style="225" bestFit="1" customWidth="1"/>
    <col min="9479" max="9480" width="0" style="225" hidden="1" customWidth="1"/>
    <col min="9481" max="9724" width="9" style="225"/>
    <col min="9725" max="9725" width="6.625" style="225" customWidth="1"/>
    <col min="9726" max="9727" width="21.625" style="225" customWidth="1"/>
    <col min="9728" max="9728" width="16.125" style="225" bestFit="1" customWidth="1"/>
    <col min="9729" max="9729" width="13.875" style="225" bestFit="1" customWidth="1"/>
    <col min="9730" max="9730" width="17.25" style="225" bestFit="1" customWidth="1"/>
    <col min="9731" max="9732" width="20.5" style="225" bestFit="1" customWidth="1"/>
    <col min="9733" max="9733" width="0" style="225" hidden="1" customWidth="1"/>
    <col min="9734" max="9734" width="18.375" style="225" bestFit="1" customWidth="1"/>
    <col min="9735" max="9736" width="0" style="225" hidden="1" customWidth="1"/>
    <col min="9737" max="9980" width="9" style="225"/>
    <col min="9981" max="9981" width="6.625" style="225" customWidth="1"/>
    <col min="9982" max="9983" width="21.625" style="225" customWidth="1"/>
    <col min="9984" max="9984" width="16.125" style="225" bestFit="1" customWidth="1"/>
    <col min="9985" max="9985" width="13.875" style="225" bestFit="1" customWidth="1"/>
    <col min="9986" max="9986" width="17.25" style="225" bestFit="1" customWidth="1"/>
    <col min="9987" max="9988" width="20.5" style="225" bestFit="1" customWidth="1"/>
    <col min="9989" max="9989" width="0" style="225" hidden="1" customWidth="1"/>
    <col min="9990" max="9990" width="18.375" style="225" bestFit="1" customWidth="1"/>
    <col min="9991" max="9992" width="0" style="225" hidden="1" customWidth="1"/>
    <col min="9993" max="10236" width="9" style="225"/>
    <col min="10237" max="10237" width="6.625" style="225" customWidth="1"/>
    <col min="10238" max="10239" width="21.625" style="225" customWidth="1"/>
    <col min="10240" max="10240" width="16.125" style="225" bestFit="1" customWidth="1"/>
    <col min="10241" max="10241" width="13.875" style="225" bestFit="1" customWidth="1"/>
    <col min="10242" max="10242" width="17.25" style="225" bestFit="1" customWidth="1"/>
    <col min="10243" max="10244" width="20.5" style="225" bestFit="1" customWidth="1"/>
    <col min="10245" max="10245" width="0" style="225" hidden="1" customWidth="1"/>
    <col min="10246" max="10246" width="18.375" style="225" bestFit="1" customWidth="1"/>
    <col min="10247" max="10248" width="0" style="225" hidden="1" customWidth="1"/>
    <col min="10249" max="10492" width="9" style="225"/>
    <col min="10493" max="10493" width="6.625" style="225" customWidth="1"/>
    <col min="10494" max="10495" width="21.625" style="225" customWidth="1"/>
    <col min="10496" max="10496" width="16.125" style="225" bestFit="1" customWidth="1"/>
    <col min="10497" max="10497" width="13.875" style="225" bestFit="1" customWidth="1"/>
    <col min="10498" max="10498" width="17.25" style="225" bestFit="1" customWidth="1"/>
    <col min="10499" max="10500" width="20.5" style="225" bestFit="1" customWidth="1"/>
    <col min="10501" max="10501" width="0" style="225" hidden="1" customWidth="1"/>
    <col min="10502" max="10502" width="18.375" style="225" bestFit="1" customWidth="1"/>
    <col min="10503" max="10504" width="0" style="225" hidden="1" customWidth="1"/>
    <col min="10505" max="10748" width="9" style="225"/>
    <col min="10749" max="10749" width="6.625" style="225" customWidth="1"/>
    <col min="10750" max="10751" width="21.625" style="225" customWidth="1"/>
    <col min="10752" max="10752" width="16.125" style="225" bestFit="1" customWidth="1"/>
    <col min="10753" max="10753" width="13.875" style="225" bestFit="1" customWidth="1"/>
    <col min="10754" max="10754" width="17.25" style="225" bestFit="1" customWidth="1"/>
    <col min="10755" max="10756" width="20.5" style="225" bestFit="1" customWidth="1"/>
    <col min="10757" max="10757" width="0" style="225" hidden="1" customWidth="1"/>
    <col min="10758" max="10758" width="18.375" style="225" bestFit="1" customWidth="1"/>
    <col min="10759" max="10760" width="0" style="225" hidden="1" customWidth="1"/>
    <col min="10761" max="11004" width="9" style="225"/>
    <col min="11005" max="11005" width="6.625" style="225" customWidth="1"/>
    <col min="11006" max="11007" width="21.625" style="225" customWidth="1"/>
    <col min="11008" max="11008" width="16.125" style="225" bestFit="1" customWidth="1"/>
    <col min="11009" max="11009" width="13.875" style="225" bestFit="1" customWidth="1"/>
    <col min="11010" max="11010" width="17.25" style="225" bestFit="1" customWidth="1"/>
    <col min="11011" max="11012" width="20.5" style="225" bestFit="1" customWidth="1"/>
    <col min="11013" max="11013" width="0" style="225" hidden="1" customWidth="1"/>
    <col min="11014" max="11014" width="18.375" style="225" bestFit="1" customWidth="1"/>
    <col min="11015" max="11016" width="0" style="225" hidden="1" customWidth="1"/>
    <col min="11017" max="11260" width="9" style="225"/>
    <col min="11261" max="11261" width="6.625" style="225" customWidth="1"/>
    <col min="11262" max="11263" width="21.625" style="225" customWidth="1"/>
    <col min="11264" max="11264" width="16.125" style="225" bestFit="1" customWidth="1"/>
    <col min="11265" max="11265" width="13.875" style="225" bestFit="1" customWidth="1"/>
    <col min="11266" max="11266" width="17.25" style="225" bestFit="1" customWidth="1"/>
    <col min="11267" max="11268" width="20.5" style="225" bestFit="1" customWidth="1"/>
    <col min="11269" max="11269" width="0" style="225" hidden="1" customWidth="1"/>
    <col min="11270" max="11270" width="18.375" style="225" bestFit="1" customWidth="1"/>
    <col min="11271" max="11272" width="0" style="225" hidden="1" customWidth="1"/>
    <col min="11273" max="11516" width="9" style="225"/>
    <col min="11517" max="11517" width="6.625" style="225" customWidth="1"/>
    <col min="11518" max="11519" width="21.625" style="225" customWidth="1"/>
    <col min="11520" max="11520" width="16.125" style="225" bestFit="1" customWidth="1"/>
    <col min="11521" max="11521" width="13.875" style="225" bestFit="1" customWidth="1"/>
    <col min="11522" max="11522" width="17.25" style="225" bestFit="1" customWidth="1"/>
    <col min="11523" max="11524" width="20.5" style="225" bestFit="1" customWidth="1"/>
    <col min="11525" max="11525" width="0" style="225" hidden="1" customWidth="1"/>
    <col min="11526" max="11526" width="18.375" style="225" bestFit="1" customWidth="1"/>
    <col min="11527" max="11528" width="0" style="225" hidden="1" customWidth="1"/>
    <col min="11529" max="11772" width="9" style="225"/>
    <col min="11773" max="11773" width="6.625" style="225" customWidth="1"/>
    <col min="11774" max="11775" width="21.625" style="225" customWidth="1"/>
    <col min="11776" max="11776" width="16.125" style="225" bestFit="1" customWidth="1"/>
    <col min="11777" max="11777" width="13.875" style="225" bestFit="1" customWidth="1"/>
    <col min="11778" max="11778" width="17.25" style="225" bestFit="1" customWidth="1"/>
    <col min="11779" max="11780" width="20.5" style="225" bestFit="1" customWidth="1"/>
    <col min="11781" max="11781" width="0" style="225" hidden="1" customWidth="1"/>
    <col min="11782" max="11782" width="18.375" style="225" bestFit="1" customWidth="1"/>
    <col min="11783" max="11784" width="0" style="225" hidden="1" customWidth="1"/>
    <col min="11785" max="12028" width="9" style="225"/>
    <col min="12029" max="12029" width="6.625" style="225" customWidth="1"/>
    <col min="12030" max="12031" width="21.625" style="225" customWidth="1"/>
    <col min="12032" max="12032" width="16.125" style="225" bestFit="1" customWidth="1"/>
    <col min="12033" max="12033" width="13.875" style="225" bestFit="1" customWidth="1"/>
    <col min="12034" max="12034" width="17.25" style="225" bestFit="1" customWidth="1"/>
    <col min="12035" max="12036" width="20.5" style="225" bestFit="1" customWidth="1"/>
    <col min="12037" max="12037" width="0" style="225" hidden="1" customWidth="1"/>
    <col min="12038" max="12038" width="18.375" style="225" bestFit="1" customWidth="1"/>
    <col min="12039" max="12040" width="0" style="225" hidden="1" customWidth="1"/>
    <col min="12041" max="12284" width="9" style="225"/>
    <col min="12285" max="12285" width="6.625" style="225" customWidth="1"/>
    <col min="12286" max="12287" width="21.625" style="225" customWidth="1"/>
    <col min="12288" max="12288" width="16.125" style="225" bestFit="1" customWidth="1"/>
    <col min="12289" max="12289" width="13.875" style="225" bestFit="1" customWidth="1"/>
    <col min="12290" max="12290" width="17.25" style="225" bestFit="1" customWidth="1"/>
    <col min="12291" max="12292" width="20.5" style="225" bestFit="1" customWidth="1"/>
    <col min="12293" max="12293" width="0" style="225" hidden="1" customWidth="1"/>
    <col min="12294" max="12294" width="18.375" style="225" bestFit="1" customWidth="1"/>
    <col min="12295" max="12296" width="0" style="225" hidden="1" customWidth="1"/>
    <col min="12297" max="12540" width="9" style="225"/>
    <col min="12541" max="12541" width="6.625" style="225" customWidth="1"/>
    <col min="12542" max="12543" width="21.625" style="225" customWidth="1"/>
    <col min="12544" max="12544" width="16.125" style="225" bestFit="1" customWidth="1"/>
    <col min="12545" max="12545" width="13.875" style="225" bestFit="1" customWidth="1"/>
    <col min="12546" max="12546" width="17.25" style="225" bestFit="1" customWidth="1"/>
    <col min="12547" max="12548" width="20.5" style="225" bestFit="1" customWidth="1"/>
    <col min="12549" max="12549" width="0" style="225" hidden="1" customWidth="1"/>
    <col min="12550" max="12550" width="18.375" style="225" bestFit="1" customWidth="1"/>
    <col min="12551" max="12552" width="0" style="225" hidden="1" customWidth="1"/>
    <col min="12553" max="12796" width="9" style="225"/>
    <col min="12797" max="12797" width="6.625" style="225" customWidth="1"/>
    <col min="12798" max="12799" width="21.625" style="225" customWidth="1"/>
    <col min="12800" max="12800" width="16.125" style="225" bestFit="1" customWidth="1"/>
    <col min="12801" max="12801" width="13.875" style="225" bestFit="1" customWidth="1"/>
    <col min="12802" max="12802" width="17.25" style="225" bestFit="1" customWidth="1"/>
    <col min="12803" max="12804" width="20.5" style="225" bestFit="1" customWidth="1"/>
    <col min="12805" max="12805" width="0" style="225" hidden="1" customWidth="1"/>
    <col min="12806" max="12806" width="18.375" style="225" bestFit="1" customWidth="1"/>
    <col min="12807" max="12808" width="0" style="225" hidden="1" customWidth="1"/>
    <col min="12809" max="13052" width="9" style="225"/>
    <col min="13053" max="13053" width="6.625" style="225" customWidth="1"/>
    <col min="13054" max="13055" width="21.625" style="225" customWidth="1"/>
    <col min="13056" max="13056" width="16.125" style="225" bestFit="1" customWidth="1"/>
    <col min="13057" max="13057" width="13.875" style="225" bestFit="1" customWidth="1"/>
    <col min="13058" max="13058" width="17.25" style="225" bestFit="1" customWidth="1"/>
    <col min="13059" max="13060" width="20.5" style="225" bestFit="1" customWidth="1"/>
    <col min="13061" max="13061" width="0" style="225" hidden="1" customWidth="1"/>
    <col min="13062" max="13062" width="18.375" style="225" bestFit="1" customWidth="1"/>
    <col min="13063" max="13064" width="0" style="225" hidden="1" customWidth="1"/>
    <col min="13065" max="13308" width="9" style="225"/>
    <col min="13309" max="13309" width="6.625" style="225" customWidth="1"/>
    <col min="13310" max="13311" width="21.625" style="225" customWidth="1"/>
    <col min="13312" max="13312" width="16.125" style="225" bestFit="1" customWidth="1"/>
    <col min="13313" max="13313" width="13.875" style="225" bestFit="1" customWidth="1"/>
    <col min="13314" max="13314" width="17.25" style="225" bestFit="1" customWidth="1"/>
    <col min="13315" max="13316" width="20.5" style="225" bestFit="1" customWidth="1"/>
    <col min="13317" max="13317" width="0" style="225" hidden="1" customWidth="1"/>
    <col min="13318" max="13318" width="18.375" style="225" bestFit="1" customWidth="1"/>
    <col min="13319" max="13320" width="0" style="225" hidden="1" customWidth="1"/>
    <col min="13321" max="13564" width="9" style="225"/>
    <col min="13565" max="13565" width="6.625" style="225" customWidth="1"/>
    <col min="13566" max="13567" width="21.625" style="225" customWidth="1"/>
    <col min="13568" max="13568" width="16.125" style="225" bestFit="1" customWidth="1"/>
    <col min="13569" max="13569" width="13.875" style="225" bestFit="1" customWidth="1"/>
    <col min="13570" max="13570" width="17.25" style="225" bestFit="1" customWidth="1"/>
    <col min="13571" max="13572" width="20.5" style="225" bestFit="1" customWidth="1"/>
    <col min="13573" max="13573" width="0" style="225" hidden="1" customWidth="1"/>
    <col min="13574" max="13574" width="18.375" style="225" bestFit="1" customWidth="1"/>
    <col min="13575" max="13576" width="0" style="225" hidden="1" customWidth="1"/>
    <col min="13577" max="13820" width="9" style="225"/>
    <col min="13821" max="13821" width="6.625" style="225" customWidth="1"/>
    <col min="13822" max="13823" width="21.625" style="225" customWidth="1"/>
    <col min="13824" max="13824" width="16.125" style="225" bestFit="1" customWidth="1"/>
    <col min="13825" max="13825" width="13.875" style="225" bestFit="1" customWidth="1"/>
    <col min="13826" max="13826" width="17.25" style="225" bestFit="1" customWidth="1"/>
    <col min="13827" max="13828" width="20.5" style="225" bestFit="1" customWidth="1"/>
    <col min="13829" max="13829" width="0" style="225" hidden="1" customWidth="1"/>
    <col min="13830" max="13830" width="18.375" style="225" bestFit="1" customWidth="1"/>
    <col min="13831" max="13832" width="0" style="225" hidden="1" customWidth="1"/>
    <col min="13833" max="14076" width="9" style="225"/>
    <col min="14077" max="14077" width="6.625" style="225" customWidth="1"/>
    <col min="14078" max="14079" width="21.625" style="225" customWidth="1"/>
    <col min="14080" max="14080" width="16.125" style="225" bestFit="1" customWidth="1"/>
    <col min="14081" max="14081" width="13.875" style="225" bestFit="1" customWidth="1"/>
    <col min="14082" max="14082" width="17.25" style="225" bestFit="1" customWidth="1"/>
    <col min="14083" max="14084" width="20.5" style="225" bestFit="1" customWidth="1"/>
    <col min="14085" max="14085" width="0" style="225" hidden="1" customWidth="1"/>
    <col min="14086" max="14086" width="18.375" style="225" bestFit="1" customWidth="1"/>
    <col min="14087" max="14088" width="0" style="225" hidden="1" customWidth="1"/>
    <col min="14089" max="14332" width="9" style="225"/>
    <col min="14333" max="14333" width="6.625" style="225" customWidth="1"/>
    <col min="14334" max="14335" width="21.625" style="225" customWidth="1"/>
    <col min="14336" max="14336" width="16.125" style="225" bestFit="1" customWidth="1"/>
    <col min="14337" max="14337" width="13.875" style="225" bestFit="1" customWidth="1"/>
    <col min="14338" max="14338" width="17.25" style="225" bestFit="1" customWidth="1"/>
    <col min="14339" max="14340" width="20.5" style="225" bestFit="1" customWidth="1"/>
    <col min="14341" max="14341" width="0" style="225" hidden="1" customWidth="1"/>
    <col min="14342" max="14342" width="18.375" style="225" bestFit="1" customWidth="1"/>
    <col min="14343" max="14344" width="0" style="225" hidden="1" customWidth="1"/>
    <col min="14345" max="14588" width="9" style="225"/>
    <col min="14589" max="14589" width="6.625" style="225" customWidth="1"/>
    <col min="14590" max="14591" width="21.625" style="225" customWidth="1"/>
    <col min="14592" max="14592" width="16.125" style="225" bestFit="1" customWidth="1"/>
    <col min="14593" max="14593" width="13.875" style="225" bestFit="1" customWidth="1"/>
    <col min="14594" max="14594" width="17.25" style="225" bestFit="1" customWidth="1"/>
    <col min="14595" max="14596" width="20.5" style="225" bestFit="1" customWidth="1"/>
    <col min="14597" max="14597" width="0" style="225" hidden="1" customWidth="1"/>
    <col min="14598" max="14598" width="18.375" style="225" bestFit="1" customWidth="1"/>
    <col min="14599" max="14600" width="0" style="225" hidden="1" customWidth="1"/>
    <col min="14601" max="14844" width="9" style="225"/>
    <col min="14845" max="14845" width="6.625" style="225" customWidth="1"/>
    <col min="14846" max="14847" width="21.625" style="225" customWidth="1"/>
    <col min="14848" max="14848" width="16.125" style="225" bestFit="1" customWidth="1"/>
    <col min="14849" max="14849" width="13.875" style="225" bestFit="1" customWidth="1"/>
    <col min="14850" max="14850" width="17.25" style="225" bestFit="1" customWidth="1"/>
    <col min="14851" max="14852" width="20.5" style="225" bestFit="1" customWidth="1"/>
    <col min="14853" max="14853" width="0" style="225" hidden="1" customWidth="1"/>
    <col min="14854" max="14854" width="18.375" style="225" bestFit="1" customWidth="1"/>
    <col min="14855" max="14856" width="0" style="225" hidden="1" customWidth="1"/>
    <col min="14857" max="15100" width="9" style="225"/>
    <col min="15101" max="15101" width="6.625" style="225" customWidth="1"/>
    <col min="15102" max="15103" width="21.625" style="225" customWidth="1"/>
    <col min="15104" max="15104" width="16.125" style="225" bestFit="1" customWidth="1"/>
    <col min="15105" max="15105" width="13.875" style="225" bestFit="1" customWidth="1"/>
    <col min="15106" max="15106" width="17.25" style="225" bestFit="1" customWidth="1"/>
    <col min="15107" max="15108" width="20.5" style="225" bestFit="1" customWidth="1"/>
    <col min="15109" max="15109" width="0" style="225" hidden="1" customWidth="1"/>
    <col min="15110" max="15110" width="18.375" style="225" bestFit="1" customWidth="1"/>
    <col min="15111" max="15112" width="0" style="225" hidden="1" customWidth="1"/>
    <col min="15113" max="15356" width="9" style="225"/>
    <col min="15357" max="15357" width="6.625" style="225" customWidth="1"/>
    <col min="15358" max="15359" width="21.625" style="225" customWidth="1"/>
    <col min="15360" max="15360" width="16.125" style="225" bestFit="1" customWidth="1"/>
    <col min="15361" max="15361" width="13.875" style="225" bestFit="1" customWidth="1"/>
    <col min="15362" max="15362" width="17.25" style="225" bestFit="1" customWidth="1"/>
    <col min="15363" max="15364" width="20.5" style="225" bestFit="1" customWidth="1"/>
    <col min="15365" max="15365" width="0" style="225" hidden="1" customWidth="1"/>
    <col min="15366" max="15366" width="18.375" style="225" bestFit="1" customWidth="1"/>
    <col min="15367" max="15368" width="0" style="225" hidden="1" customWidth="1"/>
    <col min="15369" max="15612" width="9" style="225"/>
    <col min="15613" max="15613" width="6.625" style="225" customWidth="1"/>
    <col min="15614" max="15615" width="21.625" style="225" customWidth="1"/>
    <col min="15616" max="15616" width="16.125" style="225" bestFit="1" customWidth="1"/>
    <col min="15617" max="15617" width="13.875" style="225" bestFit="1" customWidth="1"/>
    <col min="15618" max="15618" width="17.25" style="225" bestFit="1" customWidth="1"/>
    <col min="15619" max="15620" width="20.5" style="225" bestFit="1" customWidth="1"/>
    <col min="15621" max="15621" width="0" style="225" hidden="1" customWidth="1"/>
    <col min="15622" max="15622" width="18.375" style="225" bestFit="1" customWidth="1"/>
    <col min="15623" max="15624" width="0" style="225" hidden="1" customWidth="1"/>
    <col min="15625" max="15868" width="9" style="225"/>
    <col min="15869" max="15869" width="6.625" style="225" customWidth="1"/>
    <col min="15870" max="15871" width="21.625" style="225" customWidth="1"/>
    <col min="15872" max="15872" width="16.125" style="225" bestFit="1" customWidth="1"/>
    <col min="15873" max="15873" width="13.875" style="225" bestFit="1" customWidth="1"/>
    <col min="15874" max="15874" width="17.25" style="225" bestFit="1" customWidth="1"/>
    <col min="15875" max="15876" width="20.5" style="225" bestFit="1" customWidth="1"/>
    <col min="15877" max="15877" width="0" style="225" hidden="1" customWidth="1"/>
    <col min="15878" max="15878" width="18.375" style="225" bestFit="1" customWidth="1"/>
    <col min="15879" max="15880" width="0" style="225" hidden="1" customWidth="1"/>
    <col min="15881" max="16124" width="9" style="225"/>
    <col min="16125" max="16125" width="6.625" style="225" customWidth="1"/>
    <col min="16126" max="16127" width="21.625" style="225" customWidth="1"/>
    <col min="16128" max="16128" width="16.125" style="225" bestFit="1" customWidth="1"/>
    <col min="16129" max="16129" width="13.875" style="225" bestFit="1" customWidth="1"/>
    <col min="16130" max="16130" width="17.25" style="225" bestFit="1" customWidth="1"/>
    <col min="16131" max="16132" width="20.5" style="225" bestFit="1" customWidth="1"/>
    <col min="16133" max="16133" width="0" style="225" hidden="1" customWidth="1"/>
    <col min="16134" max="16134" width="18.375" style="225" bestFit="1" customWidth="1"/>
    <col min="16135" max="16136" width="0" style="225" hidden="1" customWidth="1"/>
    <col min="16137" max="16384" width="9" style="225"/>
  </cols>
  <sheetData>
    <row r="1" spans="1:3" ht="20.25">
      <c r="A1" s="362" t="s">
        <v>996</v>
      </c>
      <c r="B1" s="363"/>
      <c r="C1" s="363"/>
    </row>
    <row r="2" spans="1:3" ht="35.1" customHeight="1">
      <c r="A2" s="364" t="s">
        <v>985</v>
      </c>
      <c r="B2" s="365"/>
      <c r="C2" s="330" t="s">
        <v>998</v>
      </c>
    </row>
    <row r="3" spans="1:3" ht="30" customHeight="1">
      <c r="A3" s="327" t="s">
        <v>896</v>
      </c>
      <c r="B3" s="327" t="s">
        <v>986</v>
      </c>
      <c r="C3" s="328" t="s">
        <v>997</v>
      </c>
    </row>
    <row r="4" spans="1:3" ht="30" customHeight="1">
      <c r="A4" s="327">
        <v>1</v>
      </c>
      <c r="B4" s="327" t="s">
        <v>988</v>
      </c>
      <c r="C4" s="395">
        <f>设备购置与更新!K6+理化实验室!H134</f>
        <v>3277532</v>
      </c>
    </row>
    <row r="5" spans="1:3" ht="30" customHeight="1">
      <c r="A5" s="327">
        <v>2</v>
      </c>
      <c r="B5" s="327" t="s">
        <v>989</v>
      </c>
      <c r="C5" s="395">
        <f>虹桥维修2023!K41+'2022年校舍维修尾款'!J4</f>
        <v>2943777.5</v>
      </c>
    </row>
    <row r="6" spans="1:3" ht="30" customHeight="1">
      <c r="A6" s="327">
        <v>3</v>
      </c>
      <c r="B6" s="327" t="s">
        <v>990</v>
      </c>
      <c r="C6" s="395">
        <f>学前科!I15</f>
        <v>887573.4</v>
      </c>
    </row>
    <row r="7" spans="1:3" ht="30" customHeight="1">
      <c r="A7" s="327">
        <v>4</v>
      </c>
      <c r="B7" s="327" t="s">
        <v>991</v>
      </c>
      <c r="C7" s="395">
        <f>普教一科!G12</f>
        <v>604338</v>
      </c>
    </row>
    <row r="8" spans="1:3" ht="30" customHeight="1">
      <c r="A8" s="327">
        <v>5</v>
      </c>
      <c r="B8" s="327" t="s">
        <v>992</v>
      </c>
      <c r="C8" s="395">
        <f>普教二科!H6</f>
        <v>1800000</v>
      </c>
    </row>
    <row r="9" spans="1:3" ht="30" customHeight="1">
      <c r="A9" s="327">
        <v>6</v>
      </c>
      <c r="B9" s="327" t="s">
        <v>993</v>
      </c>
      <c r="C9" s="395">
        <f>考试中心!I4</f>
        <v>5000</v>
      </c>
    </row>
    <row r="10" spans="1:3" ht="30" customHeight="1">
      <c r="A10" s="327">
        <v>7</v>
      </c>
      <c r="B10" s="327" t="s">
        <v>994</v>
      </c>
      <c r="C10" s="395">
        <f>教育学院!G6</f>
        <v>60000</v>
      </c>
    </row>
    <row r="11" spans="1:3" ht="30" customHeight="1">
      <c r="A11" s="327">
        <v>8</v>
      </c>
      <c r="B11" s="327" t="s">
        <v>995</v>
      </c>
      <c r="C11" s="395">
        <f>抚恤金!AJ6</f>
        <v>607480</v>
      </c>
    </row>
    <row r="12" spans="1:3" ht="30" customHeight="1">
      <c r="A12" s="327"/>
      <c r="B12" s="327" t="s">
        <v>987</v>
      </c>
      <c r="C12" s="396">
        <f>SUM(C4:C11)</f>
        <v>10185700.9</v>
      </c>
    </row>
    <row r="13" spans="1:3" ht="30" customHeight="1"/>
    <row r="14" spans="1:3" ht="30" customHeight="1"/>
  </sheetData>
  <mergeCells count="2">
    <mergeCell ref="A1:C1"/>
    <mergeCell ref="A2:B2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verticalDpi="0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"/>
  <sheetViews>
    <sheetView workbookViewId="0">
      <selection activeCell="A7" sqref="A7:XFD7"/>
    </sheetView>
  </sheetViews>
  <sheetFormatPr defaultRowHeight="13.5" outlineLevelRow="2"/>
  <cols>
    <col min="1" max="1" width="5.25" style="155" customWidth="1"/>
    <col min="2" max="2" width="12.125" style="155" customWidth="1"/>
    <col min="3" max="3" width="9.75" style="155" customWidth="1"/>
    <col min="4" max="4" width="30.125" style="155" customWidth="1"/>
    <col min="5" max="5" width="14.125" style="155" customWidth="1"/>
    <col min="6" max="6" width="20.25" style="155" customWidth="1"/>
    <col min="7" max="7" width="25.75" style="155" customWidth="1"/>
    <col min="8" max="8" width="6.25" style="155" customWidth="1"/>
    <col min="9" max="9" width="10.5" style="155" customWidth="1"/>
    <col min="10" max="10" width="6" style="155" customWidth="1"/>
    <col min="11" max="11" width="11.375" style="155" customWidth="1"/>
    <col min="12" max="12" width="14.75" style="155" customWidth="1"/>
    <col min="13" max="16384" width="9" style="155"/>
  </cols>
  <sheetData>
    <row r="1" spans="1:12" ht="15.75">
      <c r="A1" s="366" t="s">
        <v>759</v>
      </c>
      <c r="B1" s="366"/>
      <c r="C1" s="366"/>
      <c r="D1" s="366"/>
      <c r="E1" s="366"/>
      <c r="F1" s="366"/>
      <c r="G1" s="366"/>
      <c r="H1" s="366"/>
      <c r="I1" s="366"/>
      <c r="J1" s="366"/>
      <c r="K1" s="366"/>
      <c r="L1" s="366"/>
    </row>
    <row r="2" spans="1:12" ht="24.75" customHeight="1">
      <c r="A2" s="236" t="s">
        <v>760</v>
      </c>
      <c r="B2" s="237" t="s">
        <v>761</v>
      </c>
      <c r="C2" s="238" t="s">
        <v>762</v>
      </c>
      <c r="D2" s="237" t="s">
        <v>763</v>
      </c>
      <c r="E2" s="239" t="s">
        <v>764</v>
      </c>
      <c r="F2" s="239" t="s">
        <v>765</v>
      </c>
      <c r="G2" s="239" t="s">
        <v>766</v>
      </c>
      <c r="H2" s="240" t="s">
        <v>767</v>
      </c>
      <c r="I2" s="241" t="s">
        <v>768</v>
      </c>
      <c r="J2" s="238" t="s">
        <v>769</v>
      </c>
      <c r="K2" s="241" t="s">
        <v>770</v>
      </c>
      <c r="L2" s="242" t="s">
        <v>771</v>
      </c>
    </row>
    <row r="3" spans="1:12" s="250" customFormat="1" ht="18" customHeight="1" outlineLevel="2">
      <c r="A3" s="243">
        <v>1</v>
      </c>
      <c r="B3" s="244" t="s">
        <v>780</v>
      </c>
      <c r="C3" s="243" t="s">
        <v>775</v>
      </c>
      <c r="D3" s="245" t="s">
        <v>781</v>
      </c>
      <c r="E3" s="245" t="s">
        <v>772</v>
      </c>
      <c r="F3" s="245" t="s">
        <v>774</v>
      </c>
      <c r="G3" s="245" t="s">
        <v>776</v>
      </c>
      <c r="H3" s="244"/>
      <c r="I3" s="246">
        <v>20000</v>
      </c>
      <c r="J3" s="243">
        <v>3</v>
      </c>
      <c r="K3" s="247">
        <f t="shared" ref="K3:K5" si="0">I3*J3</f>
        <v>60000</v>
      </c>
      <c r="L3" s="245"/>
    </row>
    <row r="4" spans="1:12" s="250" customFormat="1" ht="18" customHeight="1" outlineLevel="2">
      <c r="A4" s="248">
        <v>2</v>
      </c>
      <c r="B4" s="244" t="s">
        <v>782</v>
      </c>
      <c r="C4" s="248" t="s">
        <v>777</v>
      </c>
      <c r="D4" s="249" t="s">
        <v>783</v>
      </c>
      <c r="E4" s="245" t="s">
        <v>773</v>
      </c>
      <c r="F4" s="249" t="s">
        <v>778</v>
      </c>
      <c r="G4" s="249" t="s">
        <v>784</v>
      </c>
      <c r="H4" s="244" t="s">
        <v>785</v>
      </c>
      <c r="I4" s="252">
        <v>60000</v>
      </c>
      <c r="J4" s="248">
        <v>1</v>
      </c>
      <c r="K4" s="247">
        <f t="shared" si="0"/>
        <v>60000</v>
      </c>
      <c r="L4" s="245"/>
    </row>
    <row r="5" spans="1:12" s="250" customFormat="1" ht="18" customHeight="1" outlineLevel="2">
      <c r="A5" s="248">
        <v>3</v>
      </c>
      <c r="B5" s="244" t="s">
        <v>782</v>
      </c>
      <c r="C5" s="248" t="s">
        <v>777</v>
      </c>
      <c r="D5" s="245" t="s">
        <v>786</v>
      </c>
      <c r="E5" s="245" t="s">
        <v>773</v>
      </c>
      <c r="F5" s="249" t="s">
        <v>778</v>
      </c>
      <c r="G5" s="249" t="s">
        <v>779</v>
      </c>
      <c r="H5" s="244" t="s">
        <v>785</v>
      </c>
      <c r="I5" s="252">
        <v>60000</v>
      </c>
      <c r="J5" s="248">
        <v>1</v>
      </c>
      <c r="K5" s="247">
        <f t="shared" si="0"/>
        <v>60000</v>
      </c>
      <c r="L5" s="245"/>
    </row>
    <row r="6" spans="1:12" s="250" customFormat="1" ht="18" customHeight="1" outlineLevel="1">
      <c r="A6" s="248"/>
      <c r="B6" s="251" t="s">
        <v>787</v>
      </c>
      <c r="C6" s="248"/>
      <c r="D6" s="245"/>
      <c r="E6" s="245"/>
      <c r="F6" s="249"/>
      <c r="G6" s="249"/>
      <c r="H6" s="244"/>
      <c r="I6" s="252"/>
      <c r="J6" s="248">
        <f>SUBTOTAL(9,J3:J5)</f>
        <v>5</v>
      </c>
      <c r="K6" s="247">
        <f>SUBTOTAL(9,K3:K5)</f>
        <v>180000</v>
      </c>
      <c r="L6" s="245"/>
    </row>
    <row r="8" spans="1:12">
      <c r="K8" s="225"/>
    </row>
  </sheetData>
  <mergeCells count="1">
    <mergeCell ref="A1:L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34"/>
  <sheetViews>
    <sheetView topLeftCell="A112" workbookViewId="0">
      <selection activeCell="A135" sqref="A135:XFD343"/>
    </sheetView>
  </sheetViews>
  <sheetFormatPr defaultRowHeight="15.75"/>
  <cols>
    <col min="1" max="1" width="9" style="253"/>
    <col min="2" max="2" width="34.75" style="253" customWidth="1"/>
    <col min="3" max="3" width="26.25" style="253" customWidth="1"/>
    <col min="4" max="4" width="41" style="264" customWidth="1"/>
    <col min="5" max="5" width="17.125" style="264" customWidth="1"/>
    <col min="6" max="6" width="9" style="265"/>
    <col min="7" max="7" width="9" style="253"/>
    <col min="8" max="8" width="12.75" style="265" bestFit="1" customWidth="1"/>
    <col min="9" max="9" width="54.625" style="266" hidden="1" customWidth="1"/>
    <col min="10" max="21" width="9" style="253"/>
    <col min="22" max="16384" width="9" style="257"/>
  </cols>
  <sheetData>
    <row r="1" spans="1:9" s="253" customFormat="1" ht="18.75">
      <c r="A1" s="367" t="s">
        <v>788</v>
      </c>
      <c r="B1" s="367"/>
      <c r="C1" s="367"/>
      <c r="D1" s="367"/>
      <c r="E1" s="367"/>
      <c r="F1" s="367"/>
      <c r="G1" s="367"/>
      <c r="H1" s="367"/>
      <c r="I1" s="367"/>
    </row>
    <row r="2" spans="1:9" s="254" customFormat="1">
      <c r="A2" s="368" t="s">
        <v>789</v>
      </c>
      <c r="B2" s="368" t="s">
        <v>790</v>
      </c>
      <c r="C2" s="368" t="s">
        <v>791</v>
      </c>
      <c r="D2" s="368" t="s">
        <v>792</v>
      </c>
      <c r="E2" s="368" t="s">
        <v>793</v>
      </c>
      <c r="F2" s="369" t="s">
        <v>794</v>
      </c>
      <c r="G2" s="368" t="s">
        <v>795</v>
      </c>
      <c r="H2" s="369" t="s">
        <v>796</v>
      </c>
      <c r="I2" s="370" t="s">
        <v>797</v>
      </c>
    </row>
    <row r="3" spans="1:9" s="254" customFormat="1">
      <c r="A3" s="368"/>
      <c r="B3" s="368"/>
      <c r="C3" s="368"/>
      <c r="D3" s="368"/>
      <c r="E3" s="368"/>
      <c r="F3" s="369"/>
      <c r="G3" s="368"/>
      <c r="H3" s="369"/>
      <c r="I3" s="370"/>
    </row>
    <row r="4" spans="1:9" s="253" customFormat="1">
      <c r="A4" s="172" t="s">
        <v>266</v>
      </c>
      <c r="B4" s="172" t="s">
        <v>798</v>
      </c>
      <c r="C4" s="172" t="s">
        <v>877</v>
      </c>
      <c r="D4" s="172" t="s">
        <v>878</v>
      </c>
      <c r="E4" s="255" t="s">
        <v>879</v>
      </c>
      <c r="F4" s="256">
        <v>350</v>
      </c>
      <c r="G4" s="255">
        <v>24</v>
      </c>
      <c r="H4" s="256">
        <f t="shared" ref="H4:H16" si="0">F4*G4</f>
        <v>8400</v>
      </c>
      <c r="I4" s="172" t="s">
        <v>880</v>
      </c>
    </row>
    <row r="5" spans="1:9" s="253" customFormat="1">
      <c r="A5" s="172" t="s">
        <v>266</v>
      </c>
      <c r="B5" s="172" t="s">
        <v>803</v>
      </c>
      <c r="C5" s="172" t="s">
        <v>877</v>
      </c>
      <c r="D5" s="255" t="s">
        <v>881</v>
      </c>
      <c r="E5" s="255" t="s">
        <v>882</v>
      </c>
      <c r="F5" s="256">
        <v>7050</v>
      </c>
      <c r="G5" s="255">
        <v>1</v>
      </c>
      <c r="H5" s="256">
        <f t="shared" si="0"/>
        <v>7050</v>
      </c>
      <c r="I5" s="172" t="s">
        <v>880</v>
      </c>
    </row>
    <row r="6" spans="1:9" s="253" customFormat="1">
      <c r="A6" s="172" t="s">
        <v>266</v>
      </c>
      <c r="B6" s="172" t="s">
        <v>803</v>
      </c>
      <c r="C6" s="172" t="s">
        <v>877</v>
      </c>
      <c r="D6" s="255" t="s">
        <v>883</v>
      </c>
      <c r="E6" s="255" t="s">
        <v>884</v>
      </c>
      <c r="F6" s="256">
        <v>2500</v>
      </c>
      <c r="G6" s="255">
        <v>24</v>
      </c>
      <c r="H6" s="256">
        <f t="shared" si="0"/>
        <v>60000</v>
      </c>
      <c r="I6" s="172" t="s">
        <v>880</v>
      </c>
    </row>
    <row r="7" spans="1:9" s="253" customFormat="1">
      <c r="A7" s="172" t="s">
        <v>266</v>
      </c>
      <c r="B7" s="172" t="s">
        <v>803</v>
      </c>
      <c r="C7" s="172" t="s">
        <v>877</v>
      </c>
      <c r="D7" s="255" t="s">
        <v>885</v>
      </c>
      <c r="E7" s="255" t="s">
        <v>886</v>
      </c>
      <c r="F7" s="256">
        <v>200</v>
      </c>
      <c r="G7" s="255">
        <v>48</v>
      </c>
      <c r="H7" s="256">
        <f t="shared" si="0"/>
        <v>9600</v>
      </c>
      <c r="I7" s="172" t="s">
        <v>880</v>
      </c>
    </row>
    <row r="8" spans="1:9" s="253" customFormat="1">
      <c r="A8" s="172" t="s">
        <v>266</v>
      </c>
      <c r="B8" s="172" t="s">
        <v>803</v>
      </c>
      <c r="C8" s="172" t="s">
        <v>877</v>
      </c>
      <c r="D8" s="255" t="s">
        <v>887</v>
      </c>
      <c r="E8" s="255" t="s">
        <v>888</v>
      </c>
      <c r="F8" s="256">
        <v>2500</v>
      </c>
      <c r="G8" s="255">
        <v>13</v>
      </c>
      <c r="H8" s="256">
        <f t="shared" si="0"/>
        <v>32500</v>
      </c>
      <c r="I8" s="172" t="s">
        <v>880</v>
      </c>
    </row>
    <row r="9" spans="1:9" s="253" customFormat="1">
      <c r="A9" s="172" t="s">
        <v>266</v>
      </c>
      <c r="B9" s="172" t="s">
        <v>803</v>
      </c>
      <c r="C9" s="172" t="s">
        <v>877</v>
      </c>
      <c r="D9" s="255" t="s">
        <v>889</v>
      </c>
      <c r="E9" s="255" t="s">
        <v>890</v>
      </c>
      <c r="F9" s="256">
        <v>5500</v>
      </c>
      <c r="G9" s="255">
        <v>1</v>
      </c>
      <c r="H9" s="256">
        <f t="shared" si="0"/>
        <v>5500</v>
      </c>
      <c r="I9" s="172" t="s">
        <v>880</v>
      </c>
    </row>
    <row r="10" spans="1:9" s="253" customFormat="1">
      <c r="A10" s="172" t="s">
        <v>266</v>
      </c>
      <c r="B10" s="172" t="s">
        <v>803</v>
      </c>
      <c r="C10" s="172" t="s">
        <v>877</v>
      </c>
      <c r="D10" s="255" t="s">
        <v>891</v>
      </c>
      <c r="E10" s="255" t="s">
        <v>892</v>
      </c>
      <c r="F10" s="256">
        <v>500</v>
      </c>
      <c r="G10" s="255">
        <v>24</v>
      </c>
      <c r="H10" s="256">
        <f t="shared" si="0"/>
        <v>12000</v>
      </c>
      <c r="I10" s="172" t="s">
        <v>880</v>
      </c>
    </row>
    <row r="11" spans="1:9" s="253" customFormat="1">
      <c r="A11" s="172" t="s">
        <v>266</v>
      </c>
      <c r="B11" s="172" t="s">
        <v>803</v>
      </c>
      <c r="C11" s="172" t="s">
        <v>893</v>
      </c>
      <c r="D11" s="172" t="s">
        <v>878</v>
      </c>
      <c r="E11" s="255" t="s">
        <v>879</v>
      </c>
      <c r="F11" s="256">
        <v>350</v>
      </c>
      <c r="G11" s="255">
        <v>24</v>
      </c>
      <c r="H11" s="256">
        <f t="shared" si="0"/>
        <v>8400</v>
      </c>
      <c r="I11" s="172" t="s">
        <v>880</v>
      </c>
    </row>
    <row r="12" spans="1:9" s="253" customFormat="1">
      <c r="A12" s="172" t="s">
        <v>266</v>
      </c>
      <c r="B12" s="172" t="s">
        <v>803</v>
      </c>
      <c r="C12" s="172" t="s">
        <v>893</v>
      </c>
      <c r="D12" s="255" t="s">
        <v>881</v>
      </c>
      <c r="E12" s="255" t="s">
        <v>882</v>
      </c>
      <c r="F12" s="256">
        <v>7050</v>
      </c>
      <c r="G12" s="255">
        <v>1</v>
      </c>
      <c r="H12" s="256">
        <f t="shared" si="0"/>
        <v>7050</v>
      </c>
      <c r="I12" s="172" t="s">
        <v>880</v>
      </c>
    </row>
    <row r="13" spans="1:9" s="253" customFormat="1">
      <c r="A13" s="172" t="s">
        <v>266</v>
      </c>
      <c r="B13" s="172" t="s">
        <v>803</v>
      </c>
      <c r="C13" s="172" t="s">
        <v>893</v>
      </c>
      <c r="D13" s="255" t="s">
        <v>883</v>
      </c>
      <c r="E13" s="255" t="s">
        <v>884</v>
      </c>
      <c r="F13" s="256">
        <v>2500</v>
      </c>
      <c r="G13" s="255">
        <v>24</v>
      </c>
      <c r="H13" s="256">
        <f t="shared" si="0"/>
        <v>60000</v>
      </c>
      <c r="I13" s="172" t="s">
        <v>880</v>
      </c>
    </row>
    <row r="14" spans="1:9" s="253" customFormat="1">
      <c r="A14" s="172" t="s">
        <v>266</v>
      </c>
      <c r="B14" s="172" t="s">
        <v>803</v>
      </c>
      <c r="C14" s="172" t="s">
        <v>893</v>
      </c>
      <c r="D14" s="255" t="s">
        <v>885</v>
      </c>
      <c r="E14" s="255" t="s">
        <v>886</v>
      </c>
      <c r="F14" s="256">
        <v>200</v>
      </c>
      <c r="G14" s="255">
        <v>48</v>
      </c>
      <c r="H14" s="256">
        <f t="shared" si="0"/>
        <v>9600</v>
      </c>
      <c r="I14" s="172" t="s">
        <v>880</v>
      </c>
    </row>
    <row r="15" spans="1:9" s="253" customFormat="1">
      <c r="A15" s="172" t="s">
        <v>266</v>
      </c>
      <c r="B15" s="172" t="s">
        <v>803</v>
      </c>
      <c r="C15" s="172" t="s">
        <v>893</v>
      </c>
      <c r="D15" s="255" t="s">
        <v>889</v>
      </c>
      <c r="E15" s="255" t="s">
        <v>890</v>
      </c>
      <c r="F15" s="256">
        <v>5500</v>
      </c>
      <c r="G15" s="255">
        <v>1</v>
      </c>
      <c r="H15" s="256">
        <f t="shared" si="0"/>
        <v>5500</v>
      </c>
      <c r="I15" s="172" t="s">
        <v>880</v>
      </c>
    </row>
    <row r="16" spans="1:9" s="253" customFormat="1">
      <c r="A16" s="172" t="s">
        <v>266</v>
      </c>
      <c r="B16" s="172" t="s">
        <v>803</v>
      </c>
      <c r="C16" s="172" t="s">
        <v>893</v>
      </c>
      <c r="D16" s="255" t="s">
        <v>891</v>
      </c>
      <c r="E16" s="255" t="s">
        <v>892</v>
      </c>
      <c r="F16" s="256">
        <v>500</v>
      </c>
      <c r="G16" s="255">
        <v>24</v>
      </c>
      <c r="H16" s="256">
        <f t="shared" si="0"/>
        <v>12000</v>
      </c>
      <c r="I16" s="172" t="s">
        <v>880</v>
      </c>
    </row>
    <row r="17" spans="1:9" s="253" customFormat="1">
      <c r="A17" s="172" t="s">
        <v>266</v>
      </c>
      <c r="B17" s="172" t="s">
        <v>798</v>
      </c>
      <c r="C17" s="172" t="s">
        <v>799</v>
      </c>
      <c r="D17" s="172" t="s">
        <v>800</v>
      </c>
      <c r="E17" s="255" t="s">
        <v>801</v>
      </c>
      <c r="F17" s="256">
        <v>8100</v>
      </c>
      <c r="G17" s="255">
        <v>48</v>
      </c>
      <c r="H17" s="256">
        <f>F17*G17</f>
        <v>388800</v>
      </c>
      <c r="I17" s="172" t="s">
        <v>802</v>
      </c>
    </row>
    <row r="18" spans="1:9" s="253" customFormat="1">
      <c r="A18" s="172" t="s">
        <v>266</v>
      </c>
      <c r="B18" s="172" t="s">
        <v>803</v>
      </c>
      <c r="C18" s="172" t="s">
        <v>804</v>
      </c>
      <c r="D18" s="255" t="s">
        <v>805</v>
      </c>
      <c r="E18" s="255" t="s">
        <v>801</v>
      </c>
      <c r="F18" s="256">
        <v>1100</v>
      </c>
      <c r="G18" s="255">
        <v>96</v>
      </c>
      <c r="H18" s="256">
        <f t="shared" ref="H18:H58" si="1">F18*G18</f>
        <v>105600</v>
      </c>
      <c r="I18" s="172" t="s">
        <v>802</v>
      </c>
    </row>
    <row r="19" spans="1:9" s="253" customFormat="1">
      <c r="A19" s="172" t="s">
        <v>266</v>
      </c>
      <c r="B19" s="172" t="s">
        <v>803</v>
      </c>
      <c r="C19" s="172" t="s">
        <v>804</v>
      </c>
      <c r="D19" s="255" t="s">
        <v>806</v>
      </c>
      <c r="E19" s="255" t="s">
        <v>801</v>
      </c>
      <c r="F19" s="256">
        <v>1100</v>
      </c>
      <c r="G19" s="255">
        <v>48</v>
      </c>
      <c r="H19" s="256">
        <f t="shared" si="1"/>
        <v>52800</v>
      </c>
      <c r="I19" s="172" t="s">
        <v>802</v>
      </c>
    </row>
    <row r="20" spans="1:9" s="253" customFormat="1">
      <c r="A20" s="172" t="s">
        <v>266</v>
      </c>
      <c r="B20" s="172" t="s">
        <v>803</v>
      </c>
      <c r="C20" s="172" t="s">
        <v>804</v>
      </c>
      <c r="D20" s="255" t="s">
        <v>807</v>
      </c>
      <c r="E20" s="172" t="s">
        <v>808</v>
      </c>
      <c r="F20" s="256">
        <v>500</v>
      </c>
      <c r="G20" s="255">
        <v>48</v>
      </c>
      <c r="H20" s="256">
        <f t="shared" si="1"/>
        <v>24000</v>
      </c>
      <c r="I20" s="172" t="s">
        <v>802</v>
      </c>
    </row>
    <row r="21" spans="1:9" s="253" customFormat="1">
      <c r="A21" s="172" t="s">
        <v>266</v>
      </c>
      <c r="B21" s="172" t="s">
        <v>803</v>
      </c>
      <c r="C21" s="172" t="s">
        <v>804</v>
      </c>
      <c r="D21" s="255" t="s">
        <v>809</v>
      </c>
      <c r="E21" s="172" t="s">
        <v>808</v>
      </c>
      <c r="F21" s="256">
        <v>2700</v>
      </c>
      <c r="G21" s="255">
        <v>48</v>
      </c>
      <c r="H21" s="256">
        <f t="shared" si="1"/>
        <v>129600</v>
      </c>
      <c r="I21" s="172" t="s">
        <v>802</v>
      </c>
    </row>
    <row r="22" spans="1:9" s="253" customFormat="1">
      <c r="A22" s="172" t="s">
        <v>266</v>
      </c>
      <c r="B22" s="172" t="s">
        <v>803</v>
      </c>
      <c r="C22" s="172" t="s">
        <v>804</v>
      </c>
      <c r="D22" s="255" t="s">
        <v>810</v>
      </c>
      <c r="E22" s="255" t="s">
        <v>811</v>
      </c>
      <c r="F22" s="256">
        <v>600</v>
      </c>
      <c r="G22" s="255">
        <v>48</v>
      </c>
      <c r="H22" s="256">
        <f t="shared" si="1"/>
        <v>28800</v>
      </c>
      <c r="I22" s="172" t="s">
        <v>802</v>
      </c>
    </row>
    <row r="23" spans="1:9" s="253" customFormat="1">
      <c r="A23" s="172" t="s">
        <v>266</v>
      </c>
      <c r="B23" s="172" t="s">
        <v>803</v>
      </c>
      <c r="C23" s="172" t="s">
        <v>804</v>
      </c>
      <c r="D23" s="255" t="s">
        <v>812</v>
      </c>
      <c r="E23" s="255" t="s">
        <v>813</v>
      </c>
      <c r="F23" s="256">
        <v>15200</v>
      </c>
      <c r="G23" s="255">
        <v>2</v>
      </c>
      <c r="H23" s="256">
        <f t="shared" si="1"/>
        <v>30400</v>
      </c>
      <c r="I23" s="172" t="s">
        <v>802</v>
      </c>
    </row>
    <row r="24" spans="1:9" s="253" customFormat="1">
      <c r="A24" s="172" t="s">
        <v>266</v>
      </c>
      <c r="B24" s="172" t="s">
        <v>803</v>
      </c>
      <c r="C24" s="172" t="s">
        <v>814</v>
      </c>
      <c r="D24" s="255" t="s">
        <v>815</v>
      </c>
      <c r="E24" s="255" t="s">
        <v>801</v>
      </c>
      <c r="F24" s="256">
        <v>1720</v>
      </c>
      <c r="G24" s="255">
        <v>14</v>
      </c>
      <c r="H24" s="256">
        <f t="shared" si="1"/>
        <v>24080</v>
      </c>
      <c r="I24" s="255" t="s">
        <v>816</v>
      </c>
    </row>
    <row r="25" spans="1:9" s="253" customFormat="1">
      <c r="A25" s="172" t="s">
        <v>266</v>
      </c>
      <c r="B25" s="172" t="s">
        <v>803</v>
      </c>
      <c r="C25" s="172" t="s">
        <v>814</v>
      </c>
      <c r="D25" s="255" t="s">
        <v>817</v>
      </c>
      <c r="E25" s="255" t="s">
        <v>801</v>
      </c>
      <c r="F25" s="256">
        <v>1720</v>
      </c>
      <c r="G25" s="255">
        <v>8</v>
      </c>
      <c r="H25" s="256">
        <f t="shared" si="1"/>
        <v>13760</v>
      </c>
      <c r="I25" s="255" t="s">
        <v>816</v>
      </c>
    </row>
    <row r="26" spans="1:9" s="253" customFormat="1">
      <c r="A26" s="172" t="s">
        <v>266</v>
      </c>
      <c r="B26" s="172" t="s">
        <v>803</v>
      </c>
      <c r="C26" s="172" t="s">
        <v>814</v>
      </c>
      <c r="D26" s="255" t="s">
        <v>818</v>
      </c>
      <c r="E26" s="255" t="s">
        <v>801</v>
      </c>
      <c r="F26" s="256">
        <v>1720</v>
      </c>
      <c r="G26" s="255">
        <v>12</v>
      </c>
      <c r="H26" s="256">
        <f t="shared" si="1"/>
        <v>20640</v>
      </c>
      <c r="I26" s="255" t="s">
        <v>816</v>
      </c>
    </row>
    <row r="27" spans="1:9" s="253" customFormat="1">
      <c r="A27" s="172" t="s">
        <v>266</v>
      </c>
      <c r="B27" s="172" t="s">
        <v>803</v>
      </c>
      <c r="C27" s="172" t="s">
        <v>814</v>
      </c>
      <c r="D27" s="255" t="s">
        <v>819</v>
      </c>
      <c r="E27" s="255" t="s">
        <v>801</v>
      </c>
      <c r="F27" s="256">
        <v>6220</v>
      </c>
      <c r="G27" s="255">
        <v>1</v>
      </c>
      <c r="H27" s="256">
        <f t="shared" si="1"/>
        <v>6220</v>
      </c>
      <c r="I27" s="255" t="s">
        <v>816</v>
      </c>
    </row>
    <row r="28" spans="1:9" s="253" customFormat="1">
      <c r="A28" s="172" t="s">
        <v>266</v>
      </c>
      <c r="B28" s="172" t="s">
        <v>803</v>
      </c>
      <c r="C28" s="172" t="s">
        <v>814</v>
      </c>
      <c r="D28" s="255" t="s">
        <v>820</v>
      </c>
      <c r="E28" s="255" t="s">
        <v>801</v>
      </c>
      <c r="F28" s="256">
        <v>200</v>
      </c>
      <c r="G28" s="255">
        <v>10</v>
      </c>
      <c r="H28" s="256">
        <f t="shared" si="1"/>
        <v>2000</v>
      </c>
      <c r="I28" s="255" t="s">
        <v>816</v>
      </c>
    </row>
    <row r="29" spans="1:9" s="253" customFormat="1">
      <c r="A29" s="172" t="s">
        <v>266</v>
      </c>
      <c r="B29" s="172" t="s">
        <v>803</v>
      </c>
      <c r="C29" s="172" t="s">
        <v>814</v>
      </c>
      <c r="D29" s="255" t="s">
        <v>821</v>
      </c>
      <c r="E29" s="255" t="s">
        <v>801</v>
      </c>
      <c r="F29" s="256">
        <v>38000</v>
      </c>
      <c r="G29" s="255">
        <v>1</v>
      </c>
      <c r="H29" s="256">
        <f t="shared" si="1"/>
        <v>38000</v>
      </c>
      <c r="I29" s="255" t="s">
        <v>816</v>
      </c>
    </row>
    <row r="30" spans="1:9" s="253" customFormat="1">
      <c r="A30" s="172" t="s">
        <v>266</v>
      </c>
      <c r="B30" s="172" t="s">
        <v>803</v>
      </c>
      <c r="C30" s="172" t="s">
        <v>814</v>
      </c>
      <c r="D30" s="255" t="s">
        <v>822</v>
      </c>
      <c r="E30" s="255" t="s">
        <v>801</v>
      </c>
      <c r="F30" s="256">
        <v>4500</v>
      </c>
      <c r="G30" s="255">
        <v>2</v>
      </c>
      <c r="H30" s="256">
        <f t="shared" si="1"/>
        <v>9000</v>
      </c>
      <c r="I30" s="255" t="s">
        <v>816</v>
      </c>
    </row>
    <row r="31" spans="1:9" s="253" customFormat="1">
      <c r="A31" s="172" t="s">
        <v>266</v>
      </c>
      <c r="B31" s="172" t="s">
        <v>803</v>
      </c>
      <c r="C31" s="172" t="s">
        <v>814</v>
      </c>
      <c r="D31" s="255" t="s">
        <v>823</v>
      </c>
      <c r="E31" s="255" t="s">
        <v>801</v>
      </c>
      <c r="F31" s="256">
        <v>28000</v>
      </c>
      <c r="G31" s="255">
        <v>1</v>
      </c>
      <c r="H31" s="256">
        <f t="shared" si="1"/>
        <v>28000</v>
      </c>
      <c r="I31" s="255" t="s">
        <v>816</v>
      </c>
    </row>
    <row r="32" spans="1:9" s="253" customFormat="1">
      <c r="A32" s="172" t="s">
        <v>266</v>
      </c>
      <c r="B32" s="172" t="s">
        <v>803</v>
      </c>
      <c r="C32" s="172" t="s">
        <v>814</v>
      </c>
      <c r="D32" s="255" t="s">
        <v>824</v>
      </c>
      <c r="E32" s="255" t="s">
        <v>801</v>
      </c>
      <c r="F32" s="256">
        <v>18000</v>
      </c>
      <c r="G32" s="255">
        <v>1</v>
      </c>
      <c r="H32" s="256">
        <f t="shared" si="1"/>
        <v>18000</v>
      </c>
      <c r="I32" s="255" t="s">
        <v>816</v>
      </c>
    </row>
    <row r="33" spans="1:9" s="253" customFormat="1">
      <c r="A33" s="172" t="s">
        <v>266</v>
      </c>
      <c r="B33" s="172" t="s">
        <v>803</v>
      </c>
      <c r="C33" s="172" t="s">
        <v>814</v>
      </c>
      <c r="D33" s="255" t="s">
        <v>825</v>
      </c>
      <c r="E33" s="255" t="s">
        <v>826</v>
      </c>
      <c r="F33" s="256">
        <v>960</v>
      </c>
      <c r="G33" s="255">
        <v>8</v>
      </c>
      <c r="H33" s="256">
        <f t="shared" si="1"/>
        <v>7680</v>
      </c>
      <c r="I33" s="255" t="s">
        <v>816</v>
      </c>
    </row>
    <row r="34" spans="1:9" s="253" customFormat="1">
      <c r="A34" s="172" t="s">
        <v>266</v>
      </c>
      <c r="B34" s="172" t="s">
        <v>803</v>
      </c>
      <c r="C34" s="172" t="s">
        <v>814</v>
      </c>
      <c r="D34" s="255" t="s">
        <v>827</v>
      </c>
      <c r="E34" s="255" t="s">
        <v>801</v>
      </c>
      <c r="F34" s="256">
        <v>10000</v>
      </c>
      <c r="G34" s="255">
        <v>1</v>
      </c>
      <c r="H34" s="256">
        <f t="shared" si="1"/>
        <v>10000</v>
      </c>
      <c r="I34" s="255" t="s">
        <v>816</v>
      </c>
    </row>
    <row r="35" spans="1:9" s="253" customFormat="1">
      <c r="A35" s="172" t="s">
        <v>266</v>
      </c>
      <c r="B35" s="172" t="s">
        <v>803</v>
      </c>
      <c r="C35" s="172" t="s">
        <v>814</v>
      </c>
      <c r="D35" s="255" t="s">
        <v>828</v>
      </c>
      <c r="E35" s="255" t="s">
        <v>829</v>
      </c>
      <c r="F35" s="256">
        <v>5000</v>
      </c>
      <c r="G35" s="255">
        <v>1</v>
      </c>
      <c r="H35" s="256">
        <f t="shared" si="1"/>
        <v>5000</v>
      </c>
      <c r="I35" s="255" t="s">
        <v>816</v>
      </c>
    </row>
    <row r="36" spans="1:9" s="253" customFormat="1">
      <c r="A36" s="172" t="s">
        <v>266</v>
      </c>
      <c r="B36" s="172" t="s">
        <v>803</v>
      </c>
      <c r="C36" s="172" t="s">
        <v>814</v>
      </c>
      <c r="D36" s="255" t="s">
        <v>830</v>
      </c>
      <c r="E36" s="255" t="s">
        <v>831</v>
      </c>
      <c r="F36" s="256">
        <v>5000</v>
      </c>
      <c r="G36" s="255">
        <v>1</v>
      </c>
      <c r="H36" s="256">
        <f t="shared" si="1"/>
        <v>5000</v>
      </c>
      <c r="I36" s="255" t="s">
        <v>816</v>
      </c>
    </row>
    <row r="37" spans="1:9" s="253" customFormat="1">
      <c r="A37" s="172" t="s">
        <v>266</v>
      </c>
      <c r="B37" s="172" t="s">
        <v>803</v>
      </c>
      <c r="C37" s="172" t="s">
        <v>814</v>
      </c>
      <c r="D37" s="255" t="s">
        <v>832</v>
      </c>
      <c r="E37" s="255" t="s">
        <v>833</v>
      </c>
      <c r="F37" s="256">
        <v>2500</v>
      </c>
      <c r="G37" s="255">
        <v>3</v>
      </c>
      <c r="H37" s="256">
        <f t="shared" si="1"/>
        <v>7500</v>
      </c>
      <c r="I37" s="255" t="s">
        <v>816</v>
      </c>
    </row>
    <row r="38" spans="1:9" s="253" customFormat="1">
      <c r="A38" s="172" t="s">
        <v>266</v>
      </c>
      <c r="B38" s="172" t="s">
        <v>803</v>
      </c>
      <c r="C38" s="172" t="s">
        <v>814</v>
      </c>
      <c r="D38" s="255" t="s">
        <v>834</v>
      </c>
      <c r="E38" s="255" t="s">
        <v>835</v>
      </c>
      <c r="F38" s="256">
        <v>300</v>
      </c>
      <c r="G38" s="255">
        <v>6</v>
      </c>
      <c r="H38" s="256">
        <f t="shared" si="1"/>
        <v>1800</v>
      </c>
      <c r="I38" s="255" t="s">
        <v>816</v>
      </c>
    </row>
    <row r="39" spans="1:9" s="253" customFormat="1">
      <c r="A39" s="172" t="s">
        <v>266</v>
      </c>
      <c r="B39" s="172" t="s">
        <v>803</v>
      </c>
      <c r="C39" s="172" t="s">
        <v>814</v>
      </c>
      <c r="D39" s="255" t="s">
        <v>836</v>
      </c>
      <c r="E39" s="255" t="s">
        <v>837</v>
      </c>
      <c r="F39" s="256">
        <v>360</v>
      </c>
      <c r="G39" s="255">
        <v>2</v>
      </c>
      <c r="H39" s="256">
        <f t="shared" si="1"/>
        <v>720</v>
      </c>
      <c r="I39" s="255" t="s">
        <v>816</v>
      </c>
    </row>
    <row r="40" spans="1:9" s="253" customFormat="1">
      <c r="A40" s="172" t="s">
        <v>266</v>
      </c>
      <c r="B40" s="172" t="s">
        <v>803</v>
      </c>
      <c r="C40" s="172" t="s">
        <v>814</v>
      </c>
      <c r="D40" s="255" t="s">
        <v>838</v>
      </c>
      <c r="E40" s="255" t="s">
        <v>801</v>
      </c>
      <c r="F40" s="256">
        <v>4300</v>
      </c>
      <c r="G40" s="255">
        <v>1</v>
      </c>
      <c r="H40" s="256">
        <f t="shared" si="1"/>
        <v>4300</v>
      </c>
      <c r="I40" s="255" t="s">
        <v>816</v>
      </c>
    </row>
    <row r="41" spans="1:9" s="253" customFormat="1">
      <c r="A41" s="172" t="s">
        <v>266</v>
      </c>
      <c r="B41" s="172" t="s">
        <v>803</v>
      </c>
      <c r="C41" s="172" t="s">
        <v>814</v>
      </c>
      <c r="D41" s="255" t="s">
        <v>839</v>
      </c>
      <c r="E41" s="255" t="s">
        <v>801</v>
      </c>
      <c r="F41" s="256">
        <v>2800</v>
      </c>
      <c r="G41" s="255">
        <v>1</v>
      </c>
      <c r="H41" s="256">
        <f t="shared" si="1"/>
        <v>2800</v>
      </c>
      <c r="I41" s="255" t="s">
        <v>816</v>
      </c>
    </row>
    <row r="42" spans="1:9" s="253" customFormat="1">
      <c r="A42" s="172" t="s">
        <v>266</v>
      </c>
      <c r="B42" s="172" t="s">
        <v>803</v>
      </c>
      <c r="C42" s="172" t="s">
        <v>814</v>
      </c>
      <c r="D42" s="255" t="s">
        <v>840</v>
      </c>
      <c r="E42" s="255" t="s">
        <v>801</v>
      </c>
      <c r="F42" s="256">
        <v>10000</v>
      </c>
      <c r="G42" s="255">
        <v>1</v>
      </c>
      <c r="H42" s="256">
        <f t="shared" si="1"/>
        <v>10000</v>
      </c>
      <c r="I42" s="255" t="s">
        <v>816</v>
      </c>
    </row>
    <row r="43" spans="1:9" s="253" customFormat="1">
      <c r="A43" s="172" t="s">
        <v>266</v>
      </c>
      <c r="B43" s="172" t="s">
        <v>803</v>
      </c>
      <c r="C43" s="172" t="s">
        <v>814</v>
      </c>
      <c r="D43" s="255" t="s">
        <v>841</v>
      </c>
      <c r="E43" s="255" t="s">
        <v>801</v>
      </c>
      <c r="F43" s="256">
        <v>240</v>
      </c>
      <c r="G43" s="255">
        <v>35</v>
      </c>
      <c r="H43" s="256">
        <f t="shared" si="1"/>
        <v>8400</v>
      </c>
      <c r="I43" s="255" t="s">
        <v>816</v>
      </c>
    </row>
    <row r="44" spans="1:9" s="253" customFormat="1">
      <c r="A44" s="172" t="s">
        <v>266</v>
      </c>
      <c r="B44" s="172" t="s">
        <v>803</v>
      </c>
      <c r="C44" s="172" t="s">
        <v>814</v>
      </c>
      <c r="D44" s="255" t="s">
        <v>842</v>
      </c>
      <c r="E44" s="255" t="s">
        <v>801</v>
      </c>
      <c r="F44" s="256">
        <v>160</v>
      </c>
      <c r="G44" s="255">
        <v>35</v>
      </c>
      <c r="H44" s="256">
        <f t="shared" si="1"/>
        <v>5600</v>
      </c>
      <c r="I44" s="255" t="s">
        <v>816</v>
      </c>
    </row>
    <row r="45" spans="1:9" s="253" customFormat="1">
      <c r="A45" s="172" t="s">
        <v>266</v>
      </c>
      <c r="B45" s="172" t="s">
        <v>803</v>
      </c>
      <c r="C45" s="172" t="s">
        <v>814</v>
      </c>
      <c r="D45" s="255" t="s">
        <v>843</v>
      </c>
      <c r="E45" s="255" t="s">
        <v>801</v>
      </c>
      <c r="F45" s="256">
        <v>80</v>
      </c>
      <c r="G45" s="255">
        <v>10</v>
      </c>
      <c r="H45" s="256">
        <f t="shared" si="1"/>
        <v>800</v>
      </c>
      <c r="I45" s="255" t="s">
        <v>816</v>
      </c>
    </row>
    <row r="46" spans="1:9" s="253" customFormat="1">
      <c r="A46" s="172" t="s">
        <v>266</v>
      </c>
      <c r="B46" s="172" t="s">
        <v>803</v>
      </c>
      <c r="C46" s="172" t="s">
        <v>814</v>
      </c>
      <c r="D46" s="255" t="s">
        <v>844</v>
      </c>
      <c r="E46" s="255" t="s">
        <v>801</v>
      </c>
      <c r="F46" s="256">
        <v>4</v>
      </c>
      <c r="G46" s="255">
        <v>350</v>
      </c>
      <c r="H46" s="256">
        <f t="shared" si="1"/>
        <v>1400</v>
      </c>
      <c r="I46" s="255" t="s">
        <v>816</v>
      </c>
    </row>
    <row r="47" spans="1:9" s="253" customFormat="1">
      <c r="A47" s="172" t="s">
        <v>266</v>
      </c>
      <c r="B47" s="172" t="s">
        <v>803</v>
      </c>
      <c r="C47" s="172" t="s">
        <v>814</v>
      </c>
      <c r="D47" s="255" t="s">
        <v>845</v>
      </c>
      <c r="E47" s="255" t="s">
        <v>801</v>
      </c>
      <c r="F47" s="256">
        <v>360</v>
      </c>
      <c r="G47" s="255">
        <v>7</v>
      </c>
      <c r="H47" s="256">
        <f t="shared" si="1"/>
        <v>2520</v>
      </c>
      <c r="I47" s="255" t="s">
        <v>816</v>
      </c>
    </row>
    <row r="48" spans="1:9" s="253" customFormat="1">
      <c r="A48" s="172" t="s">
        <v>266</v>
      </c>
      <c r="B48" s="172" t="s">
        <v>803</v>
      </c>
      <c r="C48" s="172" t="s">
        <v>814</v>
      </c>
      <c r="D48" s="255" t="s">
        <v>846</v>
      </c>
      <c r="E48" s="172" t="s">
        <v>808</v>
      </c>
      <c r="F48" s="256">
        <v>480</v>
      </c>
      <c r="G48" s="255">
        <v>1</v>
      </c>
      <c r="H48" s="256">
        <f t="shared" si="1"/>
        <v>480</v>
      </c>
      <c r="I48" s="255" t="s">
        <v>816</v>
      </c>
    </row>
    <row r="49" spans="1:9" s="253" customFormat="1">
      <c r="A49" s="172" t="s">
        <v>266</v>
      </c>
      <c r="B49" s="172" t="s">
        <v>803</v>
      </c>
      <c r="C49" s="172" t="s">
        <v>814</v>
      </c>
      <c r="D49" s="255" t="s">
        <v>847</v>
      </c>
      <c r="E49" s="255" t="s">
        <v>848</v>
      </c>
      <c r="F49" s="256">
        <v>22000</v>
      </c>
      <c r="G49" s="255">
        <v>1</v>
      </c>
      <c r="H49" s="256">
        <f t="shared" si="1"/>
        <v>22000</v>
      </c>
      <c r="I49" s="255" t="s">
        <v>816</v>
      </c>
    </row>
    <row r="50" spans="1:9" s="253" customFormat="1">
      <c r="A50" s="172" t="s">
        <v>266</v>
      </c>
      <c r="B50" s="172" t="s">
        <v>803</v>
      </c>
      <c r="C50" s="172" t="s">
        <v>814</v>
      </c>
      <c r="D50" s="255" t="s">
        <v>849</v>
      </c>
      <c r="E50" s="255" t="s">
        <v>850</v>
      </c>
      <c r="F50" s="256">
        <v>9600</v>
      </c>
      <c r="G50" s="255">
        <v>1</v>
      </c>
      <c r="H50" s="256">
        <f t="shared" si="1"/>
        <v>9600</v>
      </c>
      <c r="I50" s="255" t="s">
        <v>816</v>
      </c>
    </row>
    <row r="51" spans="1:9" s="253" customFormat="1">
      <c r="A51" s="172" t="s">
        <v>266</v>
      </c>
      <c r="B51" s="172" t="s">
        <v>803</v>
      </c>
      <c r="C51" s="172" t="s">
        <v>814</v>
      </c>
      <c r="D51" s="255" t="s">
        <v>851</v>
      </c>
      <c r="E51" s="255" t="s">
        <v>852</v>
      </c>
      <c r="F51" s="256">
        <v>2400</v>
      </c>
      <c r="G51" s="255">
        <v>1</v>
      </c>
      <c r="H51" s="256">
        <f t="shared" si="1"/>
        <v>2400</v>
      </c>
      <c r="I51" s="255" t="s">
        <v>816</v>
      </c>
    </row>
    <row r="52" spans="1:9" s="253" customFormat="1">
      <c r="A52" s="172" t="s">
        <v>266</v>
      </c>
      <c r="B52" s="172" t="s">
        <v>803</v>
      </c>
      <c r="C52" s="172" t="s">
        <v>814</v>
      </c>
      <c r="D52" s="255" t="s">
        <v>853</v>
      </c>
      <c r="E52" s="255" t="s">
        <v>854</v>
      </c>
      <c r="F52" s="256">
        <v>400</v>
      </c>
      <c r="G52" s="255">
        <v>1</v>
      </c>
      <c r="H52" s="256">
        <f t="shared" si="1"/>
        <v>400</v>
      </c>
      <c r="I52" s="255" t="s">
        <v>816</v>
      </c>
    </row>
    <row r="53" spans="1:9" s="253" customFormat="1">
      <c r="A53" s="172" t="s">
        <v>266</v>
      </c>
      <c r="B53" s="172" t="s">
        <v>803</v>
      </c>
      <c r="C53" s="172" t="s">
        <v>814</v>
      </c>
      <c r="D53" s="255" t="s">
        <v>855</v>
      </c>
      <c r="E53" s="255" t="s">
        <v>801</v>
      </c>
      <c r="F53" s="256">
        <v>3100</v>
      </c>
      <c r="G53" s="255">
        <v>10</v>
      </c>
      <c r="H53" s="256">
        <f t="shared" si="1"/>
        <v>31000</v>
      </c>
      <c r="I53" s="255" t="s">
        <v>816</v>
      </c>
    </row>
    <row r="54" spans="1:9" s="253" customFormat="1">
      <c r="A54" s="172" t="s">
        <v>266</v>
      </c>
      <c r="B54" s="172" t="s">
        <v>803</v>
      </c>
      <c r="C54" s="172" t="s">
        <v>814</v>
      </c>
      <c r="D54" s="255" t="s">
        <v>856</v>
      </c>
      <c r="E54" s="255" t="s">
        <v>801</v>
      </c>
      <c r="F54" s="256">
        <v>180</v>
      </c>
      <c r="G54" s="255">
        <v>5</v>
      </c>
      <c r="H54" s="256">
        <f t="shared" si="1"/>
        <v>900</v>
      </c>
      <c r="I54" s="255" t="s">
        <v>816</v>
      </c>
    </row>
    <row r="55" spans="1:9" s="253" customFormat="1">
      <c r="A55" s="172" t="s">
        <v>266</v>
      </c>
      <c r="B55" s="172" t="s">
        <v>803</v>
      </c>
      <c r="C55" s="172" t="s">
        <v>857</v>
      </c>
      <c r="D55" s="255" t="s">
        <v>832</v>
      </c>
      <c r="E55" s="255" t="s">
        <v>831</v>
      </c>
      <c r="F55" s="256">
        <v>5000</v>
      </c>
      <c r="G55" s="255">
        <v>4</v>
      </c>
      <c r="H55" s="256">
        <f>F55*G55</f>
        <v>20000</v>
      </c>
      <c r="I55" s="255" t="s">
        <v>816</v>
      </c>
    </row>
    <row r="56" spans="1:9" s="253" customFormat="1">
      <c r="A56" s="172" t="s">
        <v>266</v>
      </c>
      <c r="B56" s="172" t="s">
        <v>803</v>
      </c>
      <c r="C56" s="172" t="s">
        <v>858</v>
      </c>
      <c r="D56" s="255" t="s">
        <v>830</v>
      </c>
      <c r="E56" s="255" t="s">
        <v>831</v>
      </c>
      <c r="F56" s="256">
        <v>5000</v>
      </c>
      <c r="G56" s="255">
        <v>2</v>
      </c>
      <c r="H56" s="256">
        <f t="shared" si="1"/>
        <v>10000</v>
      </c>
      <c r="I56" s="255" t="s">
        <v>816</v>
      </c>
    </row>
    <row r="57" spans="1:9" s="253" customFormat="1">
      <c r="A57" s="172" t="s">
        <v>266</v>
      </c>
      <c r="B57" s="172" t="s">
        <v>803</v>
      </c>
      <c r="C57" s="172" t="s">
        <v>858</v>
      </c>
      <c r="D57" s="255" t="s">
        <v>839</v>
      </c>
      <c r="E57" s="255" t="s">
        <v>801</v>
      </c>
      <c r="F57" s="256">
        <v>12000</v>
      </c>
      <c r="G57" s="255">
        <v>2</v>
      </c>
      <c r="H57" s="256">
        <f t="shared" si="1"/>
        <v>24000</v>
      </c>
      <c r="I57" s="255" t="s">
        <v>816</v>
      </c>
    </row>
    <row r="58" spans="1:9" s="253" customFormat="1">
      <c r="A58" s="172" t="s">
        <v>266</v>
      </c>
      <c r="B58" s="172" t="s">
        <v>803</v>
      </c>
      <c r="C58" s="172" t="s">
        <v>858</v>
      </c>
      <c r="D58" s="255" t="s">
        <v>859</v>
      </c>
      <c r="E58" s="255" t="s">
        <v>801</v>
      </c>
      <c r="F58" s="256">
        <v>15000</v>
      </c>
      <c r="G58" s="255">
        <v>2</v>
      </c>
      <c r="H58" s="256">
        <f t="shared" si="1"/>
        <v>30000</v>
      </c>
      <c r="I58" s="255" t="s">
        <v>816</v>
      </c>
    </row>
    <row r="59" spans="1:9" s="263" customFormat="1">
      <c r="A59" s="170" t="s">
        <v>266</v>
      </c>
      <c r="B59" s="170" t="s">
        <v>803</v>
      </c>
      <c r="C59" s="170" t="s">
        <v>858</v>
      </c>
      <c r="D59" s="170" t="s">
        <v>860</v>
      </c>
      <c r="E59" s="261" t="s">
        <v>801</v>
      </c>
      <c r="F59" s="262">
        <v>10000</v>
      </c>
      <c r="G59" s="261">
        <v>2</v>
      </c>
      <c r="H59" s="262">
        <f>F59*G59</f>
        <v>20000</v>
      </c>
      <c r="I59" s="261" t="s">
        <v>861</v>
      </c>
    </row>
    <row r="60" spans="1:9" s="253" customFormat="1">
      <c r="A60" s="172" t="s">
        <v>266</v>
      </c>
      <c r="B60" s="172" t="s">
        <v>803</v>
      </c>
      <c r="C60" s="172" t="s">
        <v>858</v>
      </c>
      <c r="D60" s="172" t="s">
        <v>862</v>
      </c>
      <c r="E60" s="172" t="s">
        <v>808</v>
      </c>
      <c r="F60" s="256">
        <f>SUM(H55:H59)*0.1</f>
        <v>10400</v>
      </c>
      <c r="G60" s="255">
        <v>1</v>
      </c>
      <c r="H60" s="256">
        <f t="shared" ref="H60:H67" si="2">F60*G60</f>
        <v>10400</v>
      </c>
      <c r="I60" s="255" t="s">
        <v>863</v>
      </c>
    </row>
    <row r="61" spans="1:9" s="253" customFormat="1">
      <c r="A61" s="172" t="s">
        <v>266</v>
      </c>
      <c r="B61" s="172" t="s">
        <v>803</v>
      </c>
      <c r="C61" s="172" t="s">
        <v>864</v>
      </c>
      <c r="D61" s="255" t="s">
        <v>865</v>
      </c>
      <c r="E61" s="255" t="s">
        <v>801</v>
      </c>
      <c r="F61" s="256">
        <v>35000</v>
      </c>
      <c r="G61" s="255">
        <v>1</v>
      </c>
      <c r="H61" s="256">
        <f t="shared" si="2"/>
        <v>35000</v>
      </c>
      <c r="I61" s="255" t="s">
        <v>816</v>
      </c>
    </row>
    <row r="62" spans="1:9" s="253" customFormat="1">
      <c r="A62" s="172" t="s">
        <v>266</v>
      </c>
      <c r="B62" s="172" t="s">
        <v>803</v>
      </c>
      <c r="C62" s="172" t="s">
        <v>866</v>
      </c>
      <c r="D62" s="255" t="s">
        <v>867</v>
      </c>
      <c r="E62" s="255" t="s">
        <v>801</v>
      </c>
      <c r="F62" s="256">
        <v>5000</v>
      </c>
      <c r="G62" s="255">
        <v>1</v>
      </c>
      <c r="H62" s="256">
        <f t="shared" si="2"/>
        <v>5000</v>
      </c>
      <c r="I62" s="255" t="s">
        <v>816</v>
      </c>
    </row>
    <row r="63" spans="1:9" s="253" customFormat="1">
      <c r="A63" s="172" t="s">
        <v>266</v>
      </c>
      <c r="B63" s="172" t="s">
        <v>803</v>
      </c>
      <c r="C63" s="172" t="s">
        <v>866</v>
      </c>
      <c r="D63" s="255" t="s">
        <v>868</v>
      </c>
      <c r="E63" s="255" t="s">
        <v>801</v>
      </c>
      <c r="F63" s="256">
        <v>10000</v>
      </c>
      <c r="G63" s="255">
        <v>1</v>
      </c>
      <c r="H63" s="256">
        <f t="shared" si="2"/>
        <v>10000</v>
      </c>
      <c r="I63" s="255" t="s">
        <v>816</v>
      </c>
    </row>
    <row r="64" spans="1:9" s="253" customFormat="1">
      <c r="A64" s="172" t="s">
        <v>266</v>
      </c>
      <c r="B64" s="172" t="s">
        <v>803</v>
      </c>
      <c r="C64" s="172" t="s">
        <v>866</v>
      </c>
      <c r="D64" s="255" t="s">
        <v>869</v>
      </c>
      <c r="E64" s="255" t="s">
        <v>801</v>
      </c>
      <c r="F64" s="256">
        <v>1100</v>
      </c>
      <c r="G64" s="255">
        <v>48</v>
      </c>
      <c r="H64" s="256">
        <f t="shared" si="2"/>
        <v>52800</v>
      </c>
      <c r="I64" s="255" t="s">
        <v>816</v>
      </c>
    </row>
    <row r="65" spans="1:9" s="253" customFormat="1">
      <c r="A65" s="172" t="s">
        <v>266</v>
      </c>
      <c r="B65" s="172" t="s">
        <v>803</v>
      </c>
      <c r="C65" s="172" t="s">
        <v>866</v>
      </c>
      <c r="D65" s="172" t="s">
        <v>870</v>
      </c>
      <c r="E65" s="172" t="s">
        <v>808</v>
      </c>
      <c r="F65" s="256">
        <f>SUM(H61:H64)*0.035</f>
        <v>3598.0000000000005</v>
      </c>
      <c r="G65" s="255">
        <v>1</v>
      </c>
      <c r="H65" s="256">
        <f t="shared" si="2"/>
        <v>3598.0000000000005</v>
      </c>
      <c r="I65" s="255" t="s">
        <v>816</v>
      </c>
    </row>
    <row r="66" spans="1:9" s="253" customFormat="1">
      <c r="A66" s="172" t="s">
        <v>266</v>
      </c>
      <c r="B66" s="172" t="s">
        <v>803</v>
      </c>
      <c r="C66" s="172" t="s">
        <v>871</v>
      </c>
      <c r="D66" s="172" t="s">
        <v>872</v>
      </c>
      <c r="E66" s="172" t="s">
        <v>873</v>
      </c>
      <c r="F66" s="256">
        <f>ROUNDUP(SUM(H4:H65)*0.01,0)</f>
        <v>15184</v>
      </c>
      <c r="G66" s="255">
        <v>1</v>
      </c>
      <c r="H66" s="256">
        <f t="shared" si="2"/>
        <v>15184</v>
      </c>
      <c r="I66" s="255"/>
    </row>
    <row r="67" spans="1:9" s="253" customFormat="1">
      <c r="A67" s="172" t="s">
        <v>266</v>
      </c>
      <c r="B67" s="172" t="s">
        <v>803</v>
      </c>
      <c r="C67" s="172" t="s">
        <v>871</v>
      </c>
      <c r="D67" s="172" t="s">
        <v>874</v>
      </c>
      <c r="E67" s="172" t="s">
        <v>875</v>
      </c>
      <c r="F67" s="256">
        <f>F66</f>
        <v>15184</v>
      </c>
      <c r="G67" s="255">
        <v>1</v>
      </c>
      <c r="H67" s="256">
        <f t="shared" si="2"/>
        <v>15184</v>
      </c>
      <c r="I67" s="255"/>
    </row>
    <row r="68" spans="1:9">
      <c r="A68" s="255"/>
      <c r="B68" s="255"/>
      <c r="C68" s="172" t="s">
        <v>876</v>
      </c>
      <c r="D68" s="255"/>
      <c r="E68" s="255"/>
      <c r="F68" s="256"/>
      <c r="G68" s="255"/>
      <c r="H68" s="256">
        <f>SUM(H4:H67)</f>
        <v>1548766</v>
      </c>
      <c r="I68" s="255"/>
    </row>
    <row r="69" spans="1:9" s="253" customFormat="1">
      <c r="A69" s="172" t="s">
        <v>267</v>
      </c>
      <c r="B69" s="172" t="s">
        <v>798</v>
      </c>
      <c r="C69" s="172" t="s">
        <v>877</v>
      </c>
      <c r="D69" s="172" t="s">
        <v>878</v>
      </c>
      <c r="E69" s="255" t="s">
        <v>879</v>
      </c>
      <c r="F69" s="256">
        <v>350</v>
      </c>
      <c r="G69" s="255">
        <v>24</v>
      </c>
      <c r="H69" s="256">
        <f t="shared" ref="H69:H81" si="3">F69*G69</f>
        <v>8400</v>
      </c>
      <c r="I69" s="172" t="s">
        <v>880</v>
      </c>
    </row>
    <row r="70" spans="1:9" s="253" customFormat="1">
      <c r="A70" s="172" t="s">
        <v>267</v>
      </c>
      <c r="B70" s="172" t="s">
        <v>803</v>
      </c>
      <c r="C70" s="172" t="s">
        <v>877</v>
      </c>
      <c r="D70" s="255" t="s">
        <v>881</v>
      </c>
      <c r="E70" s="255" t="s">
        <v>882</v>
      </c>
      <c r="F70" s="256">
        <v>7050</v>
      </c>
      <c r="G70" s="255">
        <v>1</v>
      </c>
      <c r="H70" s="256">
        <f t="shared" si="3"/>
        <v>7050</v>
      </c>
      <c r="I70" s="172" t="s">
        <v>880</v>
      </c>
    </row>
    <row r="71" spans="1:9" s="253" customFormat="1">
      <c r="A71" s="172" t="s">
        <v>267</v>
      </c>
      <c r="B71" s="172" t="s">
        <v>803</v>
      </c>
      <c r="C71" s="172" t="s">
        <v>877</v>
      </c>
      <c r="D71" s="255" t="s">
        <v>883</v>
      </c>
      <c r="E71" s="255" t="s">
        <v>884</v>
      </c>
      <c r="F71" s="256">
        <v>2500</v>
      </c>
      <c r="G71" s="255">
        <v>24</v>
      </c>
      <c r="H71" s="256">
        <f t="shared" si="3"/>
        <v>60000</v>
      </c>
      <c r="I71" s="172" t="s">
        <v>880</v>
      </c>
    </row>
    <row r="72" spans="1:9" s="253" customFormat="1">
      <c r="A72" s="172" t="s">
        <v>267</v>
      </c>
      <c r="B72" s="172" t="s">
        <v>803</v>
      </c>
      <c r="C72" s="172" t="s">
        <v>877</v>
      </c>
      <c r="D72" s="255" t="s">
        <v>885</v>
      </c>
      <c r="E72" s="255" t="s">
        <v>886</v>
      </c>
      <c r="F72" s="256">
        <v>200</v>
      </c>
      <c r="G72" s="255">
        <v>48</v>
      </c>
      <c r="H72" s="256">
        <f t="shared" si="3"/>
        <v>9600</v>
      </c>
      <c r="I72" s="172" t="s">
        <v>880</v>
      </c>
    </row>
    <row r="73" spans="1:9" s="253" customFormat="1">
      <c r="A73" s="172" t="s">
        <v>267</v>
      </c>
      <c r="B73" s="172" t="s">
        <v>803</v>
      </c>
      <c r="C73" s="172" t="s">
        <v>877</v>
      </c>
      <c r="D73" s="255" t="s">
        <v>887</v>
      </c>
      <c r="E73" s="255" t="s">
        <v>888</v>
      </c>
      <c r="F73" s="256">
        <v>2500</v>
      </c>
      <c r="G73" s="255">
        <v>13</v>
      </c>
      <c r="H73" s="256">
        <f t="shared" si="3"/>
        <v>32500</v>
      </c>
      <c r="I73" s="172" t="s">
        <v>880</v>
      </c>
    </row>
    <row r="74" spans="1:9" s="253" customFormat="1">
      <c r="A74" s="172" t="s">
        <v>267</v>
      </c>
      <c r="B74" s="172" t="s">
        <v>803</v>
      </c>
      <c r="C74" s="172" t="s">
        <v>877</v>
      </c>
      <c r="D74" s="255" t="s">
        <v>889</v>
      </c>
      <c r="E74" s="255" t="s">
        <v>890</v>
      </c>
      <c r="F74" s="256">
        <v>5500</v>
      </c>
      <c r="G74" s="255">
        <v>1</v>
      </c>
      <c r="H74" s="256">
        <f t="shared" si="3"/>
        <v>5500</v>
      </c>
      <c r="I74" s="172" t="s">
        <v>880</v>
      </c>
    </row>
    <row r="75" spans="1:9" s="253" customFormat="1">
      <c r="A75" s="172" t="s">
        <v>267</v>
      </c>
      <c r="B75" s="172" t="s">
        <v>803</v>
      </c>
      <c r="C75" s="172" t="s">
        <v>877</v>
      </c>
      <c r="D75" s="255" t="s">
        <v>891</v>
      </c>
      <c r="E75" s="255" t="s">
        <v>892</v>
      </c>
      <c r="F75" s="256">
        <v>500</v>
      </c>
      <c r="G75" s="255">
        <v>24</v>
      </c>
      <c r="H75" s="256">
        <f t="shared" si="3"/>
        <v>12000</v>
      </c>
      <c r="I75" s="172" t="s">
        <v>880</v>
      </c>
    </row>
    <row r="76" spans="1:9" s="253" customFormat="1">
      <c r="A76" s="172" t="s">
        <v>267</v>
      </c>
      <c r="B76" s="172" t="s">
        <v>803</v>
      </c>
      <c r="C76" s="172" t="s">
        <v>893</v>
      </c>
      <c r="D76" s="172" t="s">
        <v>878</v>
      </c>
      <c r="E76" s="255" t="s">
        <v>879</v>
      </c>
      <c r="F76" s="256">
        <v>350</v>
      </c>
      <c r="G76" s="255">
        <v>24</v>
      </c>
      <c r="H76" s="256">
        <f t="shared" si="3"/>
        <v>8400</v>
      </c>
      <c r="I76" s="172" t="s">
        <v>880</v>
      </c>
    </row>
    <row r="77" spans="1:9" s="253" customFormat="1">
      <c r="A77" s="172" t="s">
        <v>267</v>
      </c>
      <c r="B77" s="172" t="s">
        <v>803</v>
      </c>
      <c r="C77" s="172" t="s">
        <v>893</v>
      </c>
      <c r="D77" s="255" t="s">
        <v>881</v>
      </c>
      <c r="E77" s="255" t="s">
        <v>882</v>
      </c>
      <c r="F77" s="256">
        <v>7050</v>
      </c>
      <c r="G77" s="255">
        <v>1</v>
      </c>
      <c r="H77" s="256">
        <f t="shared" si="3"/>
        <v>7050</v>
      </c>
      <c r="I77" s="172" t="s">
        <v>880</v>
      </c>
    </row>
    <row r="78" spans="1:9" s="253" customFormat="1">
      <c r="A78" s="172" t="s">
        <v>267</v>
      </c>
      <c r="B78" s="172" t="s">
        <v>803</v>
      </c>
      <c r="C78" s="172" t="s">
        <v>893</v>
      </c>
      <c r="D78" s="255" t="s">
        <v>883</v>
      </c>
      <c r="E78" s="255" t="s">
        <v>884</v>
      </c>
      <c r="F78" s="256">
        <v>2500</v>
      </c>
      <c r="G78" s="255">
        <v>24</v>
      </c>
      <c r="H78" s="256">
        <f t="shared" si="3"/>
        <v>60000</v>
      </c>
      <c r="I78" s="172" t="s">
        <v>880</v>
      </c>
    </row>
    <row r="79" spans="1:9" s="253" customFormat="1">
      <c r="A79" s="172" t="s">
        <v>267</v>
      </c>
      <c r="B79" s="172" t="s">
        <v>803</v>
      </c>
      <c r="C79" s="172" t="s">
        <v>893</v>
      </c>
      <c r="D79" s="255" t="s">
        <v>885</v>
      </c>
      <c r="E79" s="255" t="s">
        <v>886</v>
      </c>
      <c r="F79" s="256">
        <v>200</v>
      </c>
      <c r="G79" s="255">
        <v>48</v>
      </c>
      <c r="H79" s="256">
        <f t="shared" si="3"/>
        <v>9600</v>
      </c>
      <c r="I79" s="172" t="s">
        <v>880</v>
      </c>
    </row>
    <row r="80" spans="1:9" s="253" customFormat="1">
      <c r="A80" s="172" t="s">
        <v>267</v>
      </c>
      <c r="B80" s="172" t="s">
        <v>803</v>
      </c>
      <c r="C80" s="172" t="s">
        <v>893</v>
      </c>
      <c r="D80" s="255" t="s">
        <v>889</v>
      </c>
      <c r="E80" s="255" t="s">
        <v>890</v>
      </c>
      <c r="F80" s="256">
        <v>5500</v>
      </c>
      <c r="G80" s="255">
        <v>1</v>
      </c>
      <c r="H80" s="256">
        <f t="shared" si="3"/>
        <v>5500</v>
      </c>
      <c r="I80" s="172" t="s">
        <v>880</v>
      </c>
    </row>
    <row r="81" spans="1:9" s="253" customFormat="1">
      <c r="A81" s="172" t="s">
        <v>267</v>
      </c>
      <c r="B81" s="172" t="s">
        <v>803</v>
      </c>
      <c r="C81" s="172" t="s">
        <v>893</v>
      </c>
      <c r="D81" s="255" t="s">
        <v>891</v>
      </c>
      <c r="E81" s="255" t="s">
        <v>892</v>
      </c>
      <c r="F81" s="256">
        <v>500</v>
      </c>
      <c r="G81" s="255">
        <v>24</v>
      </c>
      <c r="H81" s="256">
        <f t="shared" si="3"/>
        <v>12000</v>
      </c>
      <c r="I81" s="172" t="s">
        <v>880</v>
      </c>
    </row>
    <row r="82" spans="1:9" s="253" customFormat="1">
      <c r="A82" s="172" t="s">
        <v>267</v>
      </c>
      <c r="B82" s="172" t="s">
        <v>798</v>
      </c>
      <c r="C82" s="172" t="s">
        <v>799</v>
      </c>
      <c r="D82" s="172" t="s">
        <v>800</v>
      </c>
      <c r="E82" s="255" t="s">
        <v>801</v>
      </c>
      <c r="F82" s="256">
        <v>8100</v>
      </c>
      <c r="G82" s="255">
        <v>48</v>
      </c>
      <c r="H82" s="256">
        <f>F82*G82</f>
        <v>388800</v>
      </c>
      <c r="I82" s="172" t="s">
        <v>802</v>
      </c>
    </row>
    <row r="83" spans="1:9" s="253" customFormat="1">
      <c r="A83" s="172" t="s">
        <v>267</v>
      </c>
      <c r="B83" s="172" t="s">
        <v>803</v>
      </c>
      <c r="C83" s="172" t="s">
        <v>804</v>
      </c>
      <c r="D83" s="255" t="s">
        <v>805</v>
      </c>
      <c r="E83" s="255" t="s">
        <v>801</v>
      </c>
      <c r="F83" s="256">
        <v>1100</v>
      </c>
      <c r="G83" s="255">
        <v>96</v>
      </c>
      <c r="H83" s="256">
        <f t="shared" ref="H83:H123" si="4">F83*G83</f>
        <v>105600</v>
      </c>
      <c r="I83" s="172" t="s">
        <v>802</v>
      </c>
    </row>
    <row r="84" spans="1:9" s="253" customFormat="1">
      <c r="A84" s="172" t="s">
        <v>267</v>
      </c>
      <c r="B84" s="172" t="s">
        <v>803</v>
      </c>
      <c r="C84" s="172" t="s">
        <v>804</v>
      </c>
      <c r="D84" s="255" t="s">
        <v>806</v>
      </c>
      <c r="E84" s="255" t="s">
        <v>801</v>
      </c>
      <c r="F84" s="256">
        <v>1100</v>
      </c>
      <c r="G84" s="255">
        <v>48</v>
      </c>
      <c r="H84" s="256">
        <f t="shared" si="4"/>
        <v>52800</v>
      </c>
      <c r="I84" s="172" t="s">
        <v>802</v>
      </c>
    </row>
    <row r="85" spans="1:9" s="253" customFormat="1">
      <c r="A85" s="172" t="s">
        <v>267</v>
      </c>
      <c r="B85" s="172" t="s">
        <v>803</v>
      </c>
      <c r="C85" s="172" t="s">
        <v>804</v>
      </c>
      <c r="D85" s="255" t="s">
        <v>807</v>
      </c>
      <c r="E85" s="172" t="s">
        <v>808</v>
      </c>
      <c r="F85" s="256">
        <v>500</v>
      </c>
      <c r="G85" s="255">
        <v>48</v>
      </c>
      <c r="H85" s="256">
        <f t="shared" si="4"/>
        <v>24000</v>
      </c>
      <c r="I85" s="172" t="s">
        <v>802</v>
      </c>
    </row>
    <row r="86" spans="1:9" s="253" customFormat="1">
      <c r="A86" s="172" t="s">
        <v>267</v>
      </c>
      <c r="B86" s="172" t="s">
        <v>803</v>
      </c>
      <c r="C86" s="172" t="s">
        <v>804</v>
      </c>
      <c r="D86" s="255" t="s">
        <v>809</v>
      </c>
      <c r="E86" s="172" t="s">
        <v>808</v>
      </c>
      <c r="F86" s="256">
        <v>2700</v>
      </c>
      <c r="G86" s="255">
        <v>48</v>
      </c>
      <c r="H86" s="256">
        <f t="shared" si="4"/>
        <v>129600</v>
      </c>
      <c r="I86" s="172" t="s">
        <v>802</v>
      </c>
    </row>
    <row r="87" spans="1:9" s="253" customFormat="1">
      <c r="A87" s="172" t="s">
        <v>267</v>
      </c>
      <c r="B87" s="172" t="s">
        <v>803</v>
      </c>
      <c r="C87" s="172" t="s">
        <v>804</v>
      </c>
      <c r="D87" s="255" t="s">
        <v>810</v>
      </c>
      <c r="E87" s="255" t="s">
        <v>811</v>
      </c>
      <c r="F87" s="256">
        <v>600</v>
      </c>
      <c r="G87" s="255">
        <v>48</v>
      </c>
      <c r="H87" s="256">
        <f t="shared" si="4"/>
        <v>28800</v>
      </c>
      <c r="I87" s="172" t="s">
        <v>802</v>
      </c>
    </row>
    <row r="88" spans="1:9" s="253" customFormat="1">
      <c r="A88" s="172" t="s">
        <v>267</v>
      </c>
      <c r="B88" s="172" t="s">
        <v>803</v>
      </c>
      <c r="C88" s="172" t="s">
        <v>804</v>
      </c>
      <c r="D88" s="255" t="s">
        <v>812</v>
      </c>
      <c r="E88" s="255" t="s">
        <v>813</v>
      </c>
      <c r="F88" s="256">
        <v>15200</v>
      </c>
      <c r="G88" s="255">
        <v>2</v>
      </c>
      <c r="H88" s="256">
        <f t="shared" si="4"/>
        <v>30400</v>
      </c>
      <c r="I88" s="172" t="s">
        <v>802</v>
      </c>
    </row>
    <row r="89" spans="1:9" s="253" customFormat="1">
      <c r="A89" s="172" t="s">
        <v>267</v>
      </c>
      <c r="B89" s="172" t="s">
        <v>803</v>
      </c>
      <c r="C89" s="172" t="s">
        <v>814</v>
      </c>
      <c r="D89" s="255" t="s">
        <v>815</v>
      </c>
      <c r="E89" s="255" t="s">
        <v>801</v>
      </c>
      <c r="F89" s="256">
        <v>1720</v>
      </c>
      <c r="G89" s="255">
        <v>15</v>
      </c>
      <c r="H89" s="256">
        <f t="shared" si="4"/>
        <v>25800</v>
      </c>
      <c r="I89" s="255" t="s">
        <v>816</v>
      </c>
    </row>
    <row r="90" spans="1:9" s="253" customFormat="1">
      <c r="A90" s="172" t="s">
        <v>267</v>
      </c>
      <c r="B90" s="172" t="s">
        <v>803</v>
      </c>
      <c r="C90" s="172" t="s">
        <v>814</v>
      </c>
      <c r="D90" s="255" t="s">
        <v>817</v>
      </c>
      <c r="E90" s="255" t="s">
        <v>801</v>
      </c>
      <c r="F90" s="256">
        <v>1720</v>
      </c>
      <c r="G90" s="255">
        <v>6</v>
      </c>
      <c r="H90" s="256">
        <f t="shared" si="4"/>
        <v>10320</v>
      </c>
      <c r="I90" s="255" t="s">
        <v>816</v>
      </c>
    </row>
    <row r="91" spans="1:9" s="253" customFormat="1">
      <c r="A91" s="172" t="s">
        <v>267</v>
      </c>
      <c r="B91" s="172" t="s">
        <v>803</v>
      </c>
      <c r="C91" s="172" t="s">
        <v>814</v>
      </c>
      <c r="D91" s="255" t="s">
        <v>818</v>
      </c>
      <c r="E91" s="255" t="s">
        <v>801</v>
      </c>
      <c r="F91" s="256">
        <v>1720</v>
      </c>
      <c r="G91" s="255">
        <v>9</v>
      </c>
      <c r="H91" s="256">
        <f t="shared" si="4"/>
        <v>15480</v>
      </c>
      <c r="I91" s="255" t="s">
        <v>816</v>
      </c>
    </row>
    <row r="92" spans="1:9" s="253" customFormat="1">
      <c r="A92" s="172" t="s">
        <v>267</v>
      </c>
      <c r="B92" s="172" t="s">
        <v>803</v>
      </c>
      <c r="C92" s="172" t="s">
        <v>814</v>
      </c>
      <c r="D92" s="255" t="s">
        <v>819</v>
      </c>
      <c r="E92" s="255" t="s">
        <v>801</v>
      </c>
      <c r="F92" s="256">
        <v>6220</v>
      </c>
      <c r="G92" s="255">
        <v>1</v>
      </c>
      <c r="H92" s="256">
        <f t="shared" si="4"/>
        <v>6220</v>
      </c>
      <c r="I92" s="255" t="s">
        <v>816</v>
      </c>
    </row>
    <row r="93" spans="1:9" s="253" customFormat="1">
      <c r="A93" s="172" t="s">
        <v>267</v>
      </c>
      <c r="B93" s="172" t="s">
        <v>803</v>
      </c>
      <c r="C93" s="172" t="s">
        <v>814</v>
      </c>
      <c r="D93" s="255" t="s">
        <v>820</v>
      </c>
      <c r="E93" s="255" t="s">
        <v>801</v>
      </c>
      <c r="F93" s="256">
        <v>200</v>
      </c>
      <c r="G93" s="255">
        <v>11</v>
      </c>
      <c r="H93" s="256">
        <f t="shared" si="4"/>
        <v>2200</v>
      </c>
      <c r="I93" s="255" t="s">
        <v>816</v>
      </c>
    </row>
    <row r="94" spans="1:9" s="253" customFormat="1">
      <c r="A94" s="172" t="s">
        <v>267</v>
      </c>
      <c r="B94" s="172" t="s">
        <v>803</v>
      </c>
      <c r="C94" s="172" t="s">
        <v>814</v>
      </c>
      <c r="D94" s="255" t="s">
        <v>821</v>
      </c>
      <c r="E94" s="255" t="s">
        <v>801</v>
      </c>
      <c r="F94" s="256">
        <v>38000</v>
      </c>
      <c r="G94" s="255">
        <v>1</v>
      </c>
      <c r="H94" s="256">
        <f t="shared" si="4"/>
        <v>38000</v>
      </c>
      <c r="I94" s="255" t="s">
        <v>816</v>
      </c>
    </row>
    <row r="95" spans="1:9" s="253" customFormat="1">
      <c r="A95" s="172" t="s">
        <v>267</v>
      </c>
      <c r="B95" s="172" t="s">
        <v>803</v>
      </c>
      <c r="C95" s="172" t="s">
        <v>814</v>
      </c>
      <c r="D95" s="255" t="s">
        <v>822</v>
      </c>
      <c r="E95" s="255" t="s">
        <v>801</v>
      </c>
      <c r="F95" s="256">
        <v>4500</v>
      </c>
      <c r="G95" s="255">
        <v>2</v>
      </c>
      <c r="H95" s="256">
        <f t="shared" si="4"/>
        <v>9000</v>
      </c>
      <c r="I95" s="255" t="s">
        <v>816</v>
      </c>
    </row>
    <row r="96" spans="1:9" s="253" customFormat="1">
      <c r="A96" s="172" t="s">
        <v>267</v>
      </c>
      <c r="B96" s="172" t="s">
        <v>803</v>
      </c>
      <c r="C96" s="172" t="s">
        <v>814</v>
      </c>
      <c r="D96" s="255" t="s">
        <v>823</v>
      </c>
      <c r="E96" s="255" t="s">
        <v>801</v>
      </c>
      <c r="F96" s="256">
        <v>28000</v>
      </c>
      <c r="G96" s="255">
        <v>1</v>
      </c>
      <c r="H96" s="256">
        <f t="shared" si="4"/>
        <v>28000</v>
      </c>
      <c r="I96" s="255" t="s">
        <v>816</v>
      </c>
    </row>
    <row r="97" spans="1:9" s="253" customFormat="1">
      <c r="A97" s="172" t="s">
        <v>267</v>
      </c>
      <c r="B97" s="172" t="s">
        <v>803</v>
      </c>
      <c r="C97" s="172" t="s">
        <v>814</v>
      </c>
      <c r="D97" s="255" t="s">
        <v>824</v>
      </c>
      <c r="E97" s="255" t="s">
        <v>801</v>
      </c>
      <c r="F97" s="256">
        <v>18000</v>
      </c>
      <c r="G97" s="255">
        <v>1</v>
      </c>
      <c r="H97" s="256">
        <f t="shared" si="4"/>
        <v>18000</v>
      </c>
      <c r="I97" s="255" t="s">
        <v>816</v>
      </c>
    </row>
    <row r="98" spans="1:9" s="253" customFormat="1">
      <c r="A98" s="172" t="s">
        <v>267</v>
      </c>
      <c r="B98" s="172" t="s">
        <v>803</v>
      </c>
      <c r="C98" s="172" t="s">
        <v>814</v>
      </c>
      <c r="D98" s="255" t="s">
        <v>825</v>
      </c>
      <c r="E98" s="255" t="s">
        <v>826</v>
      </c>
      <c r="F98" s="256">
        <v>960</v>
      </c>
      <c r="G98" s="255">
        <v>8</v>
      </c>
      <c r="H98" s="256">
        <f t="shared" si="4"/>
        <v>7680</v>
      </c>
      <c r="I98" s="255" t="s">
        <v>816</v>
      </c>
    </row>
    <row r="99" spans="1:9" s="253" customFormat="1">
      <c r="A99" s="172" t="s">
        <v>267</v>
      </c>
      <c r="B99" s="172" t="s">
        <v>803</v>
      </c>
      <c r="C99" s="172" t="s">
        <v>814</v>
      </c>
      <c r="D99" s="255" t="s">
        <v>827</v>
      </c>
      <c r="E99" s="255" t="s">
        <v>801</v>
      </c>
      <c r="F99" s="256">
        <v>10000</v>
      </c>
      <c r="G99" s="255">
        <v>1</v>
      </c>
      <c r="H99" s="256">
        <f t="shared" si="4"/>
        <v>10000</v>
      </c>
      <c r="I99" s="255" t="s">
        <v>816</v>
      </c>
    </row>
    <row r="100" spans="1:9" s="253" customFormat="1">
      <c r="A100" s="172" t="s">
        <v>267</v>
      </c>
      <c r="B100" s="172" t="s">
        <v>803</v>
      </c>
      <c r="C100" s="172" t="s">
        <v>814</v>
      </c>
      <c r="D100" s="255" t="s">
        <v>828</v>
      </c>
      <c r="E100" s="255" t="s">
        <v>829</v>
      </c>
      <c r="F100" s="256">
        <v>5000</v>
      </c>
      <c r="G100" s="255">
        <v>1</v>
      </c>
      <c r="H100" s="256">
        <f t="shared" si="4"/>
        <v>5000</v>
      </c>
      <c r="I100" s="255" t="s">
        <v>816</v>
      </c>
    </row>
    <row r="101" spans="1:9" s="253" customFormat="1">
      <c r="A101" s="172" t="s">
        <v>267</v>
      </c>
      <c r="B101" s="172" t="s">
        <v>803</v>
      </c>
      <c r="C101" s="172" t="s">
        <v>814</v>
      </c>
      <c r="D101" s="255" t="s">
        <v>830</v>
      </c>
      <c r="E101" s="255" t="s">
        <v>831</v>
      </c>
      <c r="F101" s="256">
        <v>5000</v>
      </c>
      <c r="G101" s="255">
        <v>1</v>
      </c>
      <c r="H101" s="256">
        <f t="shared" si="4"/>
        <v>5000</v>
      </c>
      <c r="I101" s="255" t="s">
        <v>816</v>
      </c>
    </row>
    <row r="102" spans="1:9" s="253" customFormat="1">
      <c r="A102" s="172" t="s">
        <v>267</v>
      </c>
      <c r="B102" s="172" t="s">
        <v>803</v>
      </c>
      <c r="C102" s="172" t="s">
        <v>814</v>
      </c>
      <c r="D102" s="255" t="s">
        <v>832</v>
      </c>
      <c r="E102" s="255" t="s">
        <v>833</v>
      </c>
      <c r="F102" s="256">
        <v>2500</v>
      </c>
      <c r="G102" s="255">
        <v>3</v>
      </c>
      <c r="H102" s="256">
        <f t="shared" si="4"/>
        <v>7500</v>
      </c>
      <c r="I102" s="255" t="s">
        <v>816</v>
      </c>
    </row>
    <row r="103" spans="1:9" s="253" customFormat="1">
      <c r="A103" s="172" t="s">
        <v>267</v>
      </c>
      <c r="B103" s="172" t="s">
        <v>803</v>
      </c>
      <c r="C103" s="172" t="s">
        <v>814</v>
      </c>
      <c r="D103" s="255" t="s">
        <v>834</v>
      </c>
      <c r="E103" s="255" t="s">
        <v>835</v>
      </c>
      <c r="F103" s="256">
        <v>300</v>
      </c>
      <c r="G103" s="255">
        <v>6</v>
      </c>
      <c r="H103" s="256">
        <f t="shared" si="4"/>
        <v>1800</v>
      </c>
      <c r="I103" s="255" t="s">
        <v>816</v>
      </c>
    </row>
    <row r="104" spans="1:9" s="253" customFormat="1">
      <c r="A104" s="172" t="s">
        <v>267</v>
      </c>
      <c r="B104" s="172" t="s">
        <v>803</v>
      </c>
      <c r="C104" s="172" t="s">
        <v>814</v>
      </c>
      <c r="D104" s="255" t="s">
        <v>836</v>
      </c>
      <c r="E104" s="255" t="s">
        <v>837</v>
      </c>
      <c r="F104" s="256">
        <v>360</v>
      </c>
      <c r="G104" s="255">
        <v>2</v>
      </c>
      <c r="H104" s="256">
        <f t="shared" si="4"/>
        <v>720</v>
      </c>
      <c r="I104" s="255" t="s">
        <v>816</v>
      </c>
    </row>
    <row r="105" spans="1:9" s="253" customFormat="1">
      <c r="A105" s="172" t="s">
        <v>267</v>
      </c>
      <c r="B105" s="172" t="s">
        <v>803</v>
      </c>
      <c r="C105" s="172" t="s">
        <v>814</v>
      </c>
      <c r="D105" s="255" t="s">
        <v>838</v>
      </c>
      <c r="E105" s="255" t="s">
        <v>801</v>
      </c>
      <c r="F105" s="256">
        <v>13020</v>
      </c>
      <c r="G105" s="255">
        <v>1</v>
      </c>
      <c r="H105" s="256">
        <f t="shared" si="4"/>
        <v>13020</v>
      </c>
      <c r="I105" s="255" t="s">
        <v>816</v>
      </c>
    </row>
    <row r="106" spans="1:9" s="253" customFormat="1">
      <c r="A106" s="172" t="s">
        <v>267</v>
      </c>
      <c r="B106" s="172" t="s">
        <v>803</v>
      </c>
      <c r="C106" s="172" t="s">
        <v>814</v>
      </c>
      <c r="D106" s="255" t="s">
        <v>839</v>
      </c>
      <c r="E106" s="255" t="s">
        <v>801</v>
      </c>
      <c r="F106" s="256">
        <v>2800</v>
      </c>
      <c r="G106" s="255">
        <v>1</v>
      </c>
      <c r="H106" s="256">
        <f t="shared" si="4"/>
        <v>2800</v>
      </c>
      <c r="I106" s="255" t="s">
        <v>816</v>
      </c>
    </row>
    <row r="107" spans="1:9" s="253" customFormat="1">
      <c r="A107" s="172" t="s">
        <v>267</v>
      </c>
      <c r="B107" s="172" t="s">
        <v>803</v>
      </c>
      <c r="C107" s="172" t="s">
        <v>814</v>
      </c>
      <c r="D107" s="255" t="s">
        <v>840</v>
      </c>
      <c r="E107" s="255" t="s">
        <v>801</v>
      </c>
      <c r="F107" s="256">
        <v>10000</v>
      </c>
      <c r="G107" s="255">
        <v>1</v>
      </c>
      <c r="H107" s="256">
        <f t="shared" si="4"/>
        <v>10000</v>
      </c>
      <c r="I107" s="255" t="s">
        <v>816</v>
      </c>
    </row>
    <row r="108" spans="1:9" s="253" customFormat="1">
      <c r="A108" s="172" t="s">
        <v>267</v>
      </c>
      <c r="B108" s="172" t="s">
        <v>803</v>
      </c>
      <c r="C108" s="172" t="s">
        <v>814</v>
      </c>
      <c r="D108" s="255" t="s">
        <v>841</v>
      </c>
      <c r="E108" s="255" t="s">
        <v>801</v>
      </c>
      <c r="F108" s="256">
        <v>240</v>
      </c>
      <c r="G108" s="255">
        <v>31</v>
      </c>
      <c r="H108" s="256">
        <f t="shared" si="4"/>
        <v>7440</v>
      </c>
      <c r="I108" s="255" t="s">
        <v>816</v>
      </c>
    </row>
    <row r="109" spans="1:9" s="253" customFormat="1">
      <c r="A109" s="172" t="s">
        <v>267</v>
      </c>
      <c r="B109" s="172" t="s">
        <v>803</v>
      </c>
      <c r="C109" s="172" t="s">
        <v>814</v>
      </c>
      <c r="D109" s="255" t="s">
        <v>842</v>
      </c>
      <c r="E109" s="255" t="s">
        <v>801</v>
      </c>
      <c r="F109" s="256">
        <v>160</v>
      </c>
      <c r="G109" s="255">
        <v>31</v>
      </c>
      <c r="H109" s="256">
        <f t="shared" si="4"/>
        <v>4960</v>
      </c>
      <c r="I109" s="255" t="s">
        <v>816</v>
      </c>
    </row>
    <row r="110" spans="1:9" s="253" customFormat="1">
      <c r="A110" s="172" t="s">
        <v>267</v>
      </c>
      <c r="B110" s="172" t="s">
        <v>803</v>
      </c>
      <c r="C110" s="172" t="s">
        <v>814</v>
      </c>
      <c r="D110" s="255" t="s">
        <v>843</v>
      </c>
      <c r="E110" s="255" t="s">
        <v>801</v>
      </c>
      <c r="F110" s="256">
        <v>80</v>
      </c>
      <c r="G110" s="255">
        <v>11</v>
      </c>
      <c r="H110" s="256">
        <f t="shared" si="4"/>
        <v>880</v>
      </c>
      <c r="I110" s="255" t="s">
        <v>816</v>
      </c>
    </row>
    <row r="111" spans="1:9" s="253" customFormat="1">
      <c r="A111" s="172" t="s">
        <v>267</v>
      </c>
      <c r="B111" s="172" t="s">
        <v>803</v>
      </c>
      <c r="C111" s="172" t="s">
        <v>814</v>
      </c>
      <c r="D111" s="255" t="s">
        <v>844</v>
      </c>
      <c r="E111" s="255" t="s">
        <v>801</v>
      </c>
      <c r="F111" s="256">
        <v>4</v>
      </c>
      <c r="G111" s="255">
        <v>310</v>
      </c>
      <c r="H111" s="256">
        <f t="shared" si="4"/>
        <v>1240</v>
      </c>
      <c r="I111" s="255" t="s">
        <v>816</v>
      </c>
    </row>
    <row r="112" spans="1:9" s="253" customFormat="1">
      <c r="A112" s="172" t="s">
        <v>267</v>
      </c>
      <c r="B112" s="172" t="s">
        <v>803</v>
      </c>
      <c r="C112" s="172" t="s">
        <v>814</v>
      </c>
      <c r="D112" s="255" t="s">
        <v>845</v>
      </c>
      <c r="E112" s="255" t="s">
        <v>801</v>
      </c>
      <c r="F112" s="256">
        <v>360</v>
      </c>
      <c r="G112" s="255">
        <v>6</v>
      </c>
      <c r="H112" s="256">
        <f t="shared" si="4"/>
        <v>2160</v>
      </c>
      <c r="I112" s="255" t="s">
        <v>816</v>
      </c>
    </row>
    <row r="113" spans="1:9" s="253" customFormat="1">
      <c r="A113" s="172" t="s">
        <v>267</v>
      </c>
      <c r="B113" s="172" t="s">
        <v>803</v>
      </c>
      <c r="C113" s="172" t="s">
        <v>814</v>
      </c>
      <c r="D113" s="255" t="s">
        <v>846</v>
      </c>
      <c r="E113" s="172" t="s">
        <v>808</v>
      </c>
      <c r="F113" s="256">
        <v>480</v>
      </c>
      <c r="G113" s="255">
        <v>1</v>
      </c>
      <c r="H113" s="256">
        <f t="shared" si="4"/>
        <v>480</v>
      </c>
      <c r="I113" s="255" t="s">
        <v>816</v>
      </c>
    </row>
    <row r="114" spans="1:9" s="253" customFormat="1">
      <c r="A114" s="172" t="s">
        <v>267</v>
      </c>
      <c r="B114" s="172" t="s">
        <v>803</v>
      </c>
      <c r="C114" s="172" t="s">
        <v>814</v>
      </c>
      <c r="D114" s="255" t="s">
        <v>847</v>
      </c>
      <c r="E114" s="255" t="s">
        <v>848</v>
      </c>
      <c r="F114" s="256">
        <v>22000</v>
      </c>
      <c r="G114" s="255">
        <v>1</v>
      </c>
      <c r="H114" s="256">
        <f t="shared" si="4"/>
        <v>22000</v>
      </c>
      <c r="I114" s="255" t="s">
        <v>816</v>
      </c>
    </row>
    <row r="115" spans="1:9" s="253" customFormat="1">
      <c r="A115" s="172" t="s">
        <v>267</v>
      </c>
      <c r="B115" s="172" t="s">
        <v>803</v>
      </c>
      <c r="C115" s="172" t="s">
        <v>814</v>
      </c>
      <c r="D115" s="255" t="s">
        <v>849</v>
      </c>
      <c r="E115" s="255" t="s">
        <v>850</v>
      </c>
      <c r="F115" s="256">
        <v>9600</v>
      </c>
      <c r="G115" s="255">
        <v>1</v>
      </c>
      <c r="H115" s="256">
        <f t="shared" si="4"/>
        <v>9600</v>
      </c>
      <c r="I115" s="255" t="s">
        <v>816</v>
      </c>
    </row>
    <row r="116" spans="1:9" s="253" customFormat="1">
      <c r="A116" s="172" t="s">
        <v>267</v>
      </c>
      <c r="B116" s="172" t="s">
        <v>803</v>
      </c>
      <c r="C116" s="172" t="s">
        <v>814</v>
      </c>
      <c r="D116" s="255" t="s">
        <v>851</v>
      </c>
      <c r="E116" s="255" t="s">
        <v>852</v>
      </c>
      <c r="F116" s="256">
        <v>2400</v>
      </c>
      <c r="G116" s="255">
        <v>1</v>
      </c>
      <c r="H116" s="256">
        <f t="shared" si="4"/>
        <v>2400</v>
      </c>
      <c r="I116" s="255" t="s">
        <v>816</v>
      </c>
    </row>
    <row r="117" spans="1:9" s="253" customFormat="1">
      <c r="A117" s="172" t="s">
        <v>267</v>
      </c>
      <c r="B117" s="172" t="s">
        <v>803</v>
      </c>
      <c r="C117" s="172" t="s">
        <v>814</v>
      </c>
      <c r="D117" s="255" t="s">
        <v>853</v>
      </c>
      <c r="E117" s="255" t="s">
        <v>854</v>
      </c>
      <c r="F117" s="256">
        <v>400</v>
      </c>
      <c r="G117" s="255">
        <v>1</v>
      </c>
      <c r="H117" s="256">
        <f t="shared" si="4"/>
        <v>400</v>
      </c>
      <c r="I117" s="255" t="s">
        <v>816</v>
      </c>
    </row>
    <row r="118" spans="1:9" s="253" customFormat="1">
      <c r="A118" s="172" t="s">
        <v>267</v>
      </c>
      <c r="B118" s="172" t="s">
        <v>803</v>
      </c>
      <c r="C118" s="172" t="s">
        <v>814</v>
      </c>
      <c r="D118" s="255" t="s">
        <v>855</v>
      </c>
      <c r="E118" s="255" t="s">
        <v>801</v>
      </c>
      <c r="F118" s="256">
        <v>3100</v>
      </c>
      <c r="G118" s="255">
        <v>10</v>
      </c>
      <c r="H118" s="256">
        <f t="shared" si="4"/>
        <v>31000</v>
      </c>
      <c r="I118" s="255" t="s">
        <v>816</v>
      </c>
    </row>
    <row r="119" spans="1:9" s="253" customFormat="1">
      <c r="A119" s="172" t="s">
        <v>267</v>
      </c>
      <c r="B119" s="172" t="s">
        <v>803</v>
      </c>
      <c r="C119" s="172" t="s">
        <v>814</v>
      </c>
      <c r="D119" s="255" t="s">
        <v>856</v>
      </c>
      <c r="E119" s="255" t="s">
        <v>801</v>
      </c>
      <c r="F119" s="256">
        <v>180</v>
      </c>
      <c r="G119" s="255">
        <v>5</v>
      </c>
      <c r="H119" s="256">
        <f t="shared" si="4"/>
        <v>900</v>
      </c>
      <c r="I119" s="255" t="s">
        <v>816</v>
      </c>
    </row>
    <row r="120" spans="1:9" s="253" customFormat="1">
      <c r="A120" s="172" t="s">
        <v>267</v>
      </c>
      <c r="B120" s="172" t="s">
        <v>803</v>
      </c>
      <c r="C120" s="172" t="s">
        <v>857</v>
      </c>
      <c r="D120" s="255" t="s">
        <v>832</v>
      </c>
      <c r="E120" s="255" t="s">
        <v>831</v>
      </c>
      <c r="F120" s="256">
        <v>5000</v>
      </c>
      <c r="G120" s="255">
        <v>4</v>
      </c>
      <c r="H120" s="256">
        <f>F120*G120</f>
        <v>20000</v>
      </c>
      <c r="I120" s="255" t="s">
        <v>816</v>
      </c>
    </row>
    <row r="121" spans="1:9" s="253" customFormat="1">
      <c r="A121" s="172" t="s">
        <v>267</v>
      </c>
      <c r="B121" s="172" t="s">
        <v>803</v>
      </c>
      <c r="C121" s="172" t="s">
        <v>858</v>
      </c>
      <c r="D121" s="255" t="s">
        <v>830</v>
      </c>
      <c r="E121" s="255" t="s">
        <v>831</v>
      </c>
      <c r="F121" s="256">
        <v>5000</v>
      </c>
      <c r="G121" s="255">
        <v>2</v>
      </c>
      <c r="H121" s="256">
        <f t="shared" si="4"/>
        <v>10000</v>
      </c>
      <c r="I121" s="255" t="s">
        <v>816</v>
      </c>
    </row>
    <row r="122" spans="1:9" s="253" customFormat="1">
      <c r="A122" s="172" t="s">
        <v>267</v>
      </c>
      <c r="B122" s="172" t="s">
        <v>803</v>
      </c>
      <c r="C122" s="172" t="s">
        <v>858</v>
      </c>
      <c r="D122" s="255" t="s">
        <v>839</v>
      </c>
      <c r="E122" s="255" t="s">
        <v>801</v>
      </c>
      <c r="F122" s="256">
        <v>12000</v>
      </c>
      <c r="G122" s="255">
        <v>2</v>
      </c>
      <c r="H122" s="256">
        <f t="shared" si="4"/>
        <v>24000</v>
      </c>
      <c r="I122" s="255" t="s">
        <v>816</v>
      </c>
    </row>
    <row r="123" spans="1:9" s="253" customFormat="1">
      <c r="A123" s="172" t="s">
        <v>267</v>
      </c>
      <c r="B123" s="172" t="s">
        <v>803</v>
      </c>
      <c r="C123" s="172" t="s">
        <v>858</v>
      </c>
      <c r="D123" s="255" t="s">
        <v>859</v>
      </c>
      <c r="E123" s="255" t="s">
        <v>801</v>
      </c>
      <c r="F123" s="256">
        <v>15000</v>
      </c>
      <c r="G123" s="255">
        <v>2</v>
      </c>
      <c r="H123" s="256">
        <f t="shared" si="4"/>
        <v>30000</v>
      </c>
      <c r="I123" s="255" t="s">
        <v>816</v>
      </c>
    </row>
    <row r="124" spans="1:9" s="253" customFormat="1">
      <c r="A124" s="172" t="s">
        <v>267</v>
      </c>
      <c r="B124" s="172" t="s">
        <v>803</v>
      </c>
      <c r="C124" s="172" t="s">
        <v>858</v>
      </c>
      <c r="D124" s="172" t="s">
        <v>860</v>
      </c>
      <c r="E124" s="255" t="s">
        <v>801</v>
      </c>
      <c r="F124" s="256">
        <v>10000</v>
      </c>
      <c r="G124" s="255">
        <v>2</v>
      </c>
      <c r="H124" s="256">
        <f>F124*G124</f>
        <v>20000</v>
      </c>
      <c r="I124" s="255" t="s">
        <v>861</v>
      </c>
    </row>
    <row r="125" spans="1:9" s="253" customFormat="1">
      <c r="A125" s="172" t="s">
        <v>267</v>
      </c>
      <c r="B125" s="172" t="s">
        <v>803</v>
      </c>
      <c r="C125" s="172" t="s">
        <v>858</v>
      </c>
      <c r="D125" s="172" t="s">
        <v>862</v>
      </c>
      <c r="E125" s="172" t="s">
        <v>808</v>
      </c>
      <c r="F125" s="256">
        <f>SUM(H120:H124)*0.1</f>
        <v>10400</v>
      </c>
      <c r="G125" s="255">
        <v>1</v>
      </c>
      <c r="H125" s="256">
        <f t="shared" ref="H125:H132" si="5">F125*G125</f>
        <v>10400</v>
      </c>
      <c r="I125" s="255" t="s">
        <v>863</v>
      </c>
    </row>
    <row r="126" spans="1:9" s="253" customFormat="1">
      <c r="A126" s="172" t="s">
        <v>267</v>
      </c>
      <c r="B126" s="172" t="s">
        <v>803</v>
      </c>
      <c r="C126" s="172" t="s">
        <v>864</v>
      </c>
      <c r="D126" s="255" t="s">
        <v>865</v>
      </c>
      <c r="E126" s="255" t="s">
        <v>801</v>
      </c>
      <c r="F126" s="256">
        <v>35000</v>
      </c>
      <c r="G126" s="255">
        <v>1</v>
      </c>
      <c r="H126" s="256">
        <f t="shared" si="5"/>
        <v>35000</v>
      </c>
      <c r="I126" s="255" t="s">
        <v>816</v>
      </c>
    </row>
    <row r="127" spans="1:9" s="253" customFormat="1">
      <c r="A127" s="172" t="s">
        <v>267</v>
      </c>
      <c r="B127" s="172" t="s">
        <v>803</v>
      </c>
      <c r="C127" s="172" t="s">
        <v>866</v>
      </c>
      <c r="D127" s="255" t="s">
        <v>867</v>
      </c>
      <c r="E127" s="255" t="s">
        <v>801</v>
      </c>
      <c r="F127" s="256">
        <v>5000</v>
      </c>
      <c r="G127" s="255">
        <v>1</v>
      </c>
      <c r="H127" s="256">
        <f t="shared" si="5"/>
        <v>5000</v>
      </c>
      <c r="I127" s="255" t="s">
        <v>816</v>
      </c>
    </row>
    <row r="128" spans="1:9" s="253" customFormat="1">
      <c r="A128" s="172" t="s">
        <v>267</v>
      </c>
      <c r="B128" s="172" t="s">
        <v>803</v>
      </c>
      <c r="C128" s="172" t="s">
        <v>866</v>
      </c>
      <c r="D128" s="255" t="s">
        <v>868</v>
      </c>
      <c r="E128" s="255" t="s">
        <v>801</v>
      </c>
      <c r="F128" s="256">
        <v>10000</v>
      </c>
      <c r="G128" s="255">
        <v>1</v>
      </c>
      <c r="H128" s="256">
        <f t="shared" si="5"/>
        <v>10000</v>
      </c>
      <c r="I128" s="255" t="s">
        <v>816</v>
      </c>
    </row>
    <row r="129" spans="1:9" s="253" customFormat="1">
      <c r="A129" s="172" t="s">
        <v>267</v>
      </c>
      <c r="B129" s="172" t="s">
        <v>803</v>
      </c>
      <c r="C129" s="172" t="s">
        <v>866</v>
      </c>
      <c r="D129" s="255" t="s">
        <v>869</v>
      </c>
      <c r="E129" s="255" t="s">
        <v>801</v>
      </c>
      <c r="F129" s="256">
        <v>1100</v>
      </c>
      <c r="G129" s="255">
        <v>48</v>
      </c>
      <c r="H129" s="256">
        <f t="shared" si="5"/>
        <v>52800</v>
      </c>
      <c r="I129" s="255" t="s">
        <v>816</v>
      </c>
    </row>
    <row r="130" spans="1:9" s="253" customFormat="1">
      <c r="A130" s="172" t="s">
        <v>267</v>
      </c>
      <c r="B130" s="172" t="s">
        <v>803</v>
      </c>
      <c r="C130" s="172" t="s">
        <v>866</v>
      </c>
      <c r="D130" s="172" t="s">
        <v>870</v>
      </c>
      <c r="E130" s="172" t="s">
        <v>808</v>
      </c>
      <c r="F130" s="256">
        <f>SUM(H126:H129)*0.035</f>
        <v>3598.0000000000005</v>
      </c>
      <c r="G130" s="255">
        <v>1</v>
      </c>
      <c r="H130" s="256">
        <f t="shared" si="5"/>
        <v>3598.0000000000005</v>
      </c>
      <c r="I130" s="255" t="s">
        <v>816</v>
      </c>
    </row>
    <row r="131" spans="1:9" s="253" customFormat="1">
      <c r="A131" s="172" t="s">
        <v>267</v>
      </c>
      <c r="B131" s="172" t="s">
        <v>803</v>
      </c>
      <c r="C131" s="172" t="s">
        <v>871</v>
      </c>
      <c r="D131" s="172" t="s">
        <v>872</v>
      </c>
      <c r="E131" s="172" t="s">
        <v>873</v>
      </c>
      <c r="F131" s="256">
        <f>ROUNDUP(SUM(H69:H130)*0.01,0)</f>
        <v>15184</v>
      </c>
      <c r="G131" s="255">
        <v>1</v>
      </c>
      <c r="H131" s="256">
        <f t="shared" si="5"/>
        <v>15184</v>
      </c>
      <c r="I131" s="255"/>
    </row>
    <row r="132" spans="1:9" s="253" customFormat="1">
      <c r="A132" s="172" t="s">
        <v>267</v>
      </c>
      <c r="B132" s="172" t="s">
        <v>803</v>
      </c>
      <c r="C132" s="172" t="s">
        <v>871</v>
      </c>
      <c r="D132" s="172" t="s">
        <v>874</v>
      </c>
      <c r="E132" s="172" t="s">
        <v>875</v>
      </c>
      <c r="F132" s="256">
        <f>F131</f>
        <v>15184</v>
      </c>
      <c r="G132" s="255">
        <v>1</v>
      </c>
      <c r="H132" s="256">
        <f t="shared" si="5"/>
        <v>15184</v>
      </c>
      <c r="I132" s="255"/>
    </row>
    <row r="133" spans="1:9">
      <c r="A133" s="255"/>
      <c r="B133" s="255"/>
      <c r="C133" s="172" t="s">
        <v>876</v>
      </c>
      <c r="D133" s="255"/>
      <c r="E133" s="255"/>
      <c r="F133" s="256"/>
      <c r="G133" s="255"/>
      <c r="H133" s="256">
        <f>SUM(H69:H132)</f>
        <v>1548766</v>
      </c>
      <c r="I133" s="255"/>
    </row>
    <row r="134" spans="1:9">
      <c r="A134" s="258"/>
      <c r="B134" s="258"/>
      <c r="C134" s="259" t="s">
        <v>661</v>
      </c>
      <c r="D134" s="258"/>
      <c r="E134" s="258"/>
      <c r="F134" s="260"/>
      <c r="G134" s="258"/>
      <c r="H134" s="260">
        <f>H68+H133</f>
        <v>3097532</v>
      </c>
      <c r="I134" s="258"/>
    </row>
  </sheetData>
  <mergeCells count="10">
    <mergeCell ref="A1:I1"/>
    <mergeCell ref="A2:A3"/>
    <mergeCell ref="B2:B3"/>
    <mergeCell ref="C2:C3"/>
    <mergeCell ref="D2:D3"/>
    <mergeCell ref="E2:E3"/>
    <mergeCell ref="F2:F3"/>
    <mergeCell ref="G2:G3"/>
    <mergeCell ref="H2:H3"/>
    <mergeCell ref="I2:I3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EG41"/>
  <sheetViews>
    <sheetView topLeftCell="A16" workbookViewId="0">
      <selection activeCell="K3" sqref="K3:K9"/>
    </sheetView>
  </sheetViews>
  <sheetFormatPr defaultColWidth="9" defaultRowHeight="30" customHeight="1"/>
  <cols>
    <col min="1" max="1" width="4" style="293" customWidth="1"/>
    <col min="2" max="2" width="9" style="293" customWidth="1"/>
    <col min="3" max="3" width="7.875" style="293" customWidth="1"/>
    <col min="4" max="4" width="11" style="293" customWidth="1"/>
    <col min="5" max="5" width="9.125" style="306" customWidth="1"/>
    <col min="6" max="6" width="19" style="293" customWidth="1"/>
    <col min="7" max="7" width="6" style="306" customWidth="1"/>
    <col min="8" max="8" width="8.875" style="307" customWidth="1"/>
    <col min="9" max="9" width="11.625" style="307" customWidth="1"/>
    <col min="10" max="10" width="14.75" style="308" customWidth="1"/>
    <col min="11" max="11" width="12.75" style="293" customWidth="1"/>
    <col min="12" max="247" width="9" style="293"/>
    <col min="248" max="248" width="4" style="293" customWidth="1"/>
    <col min="249" max="249" width="7.125" style="293" customWidth="1"/>
    <col min="250" max="250" width="6.625" style="293" customWidth="1"/>
    <col min="251" max="251" width="8" style="293" customWidth="1"/>
    <col min="252" max="252" width="18.875" style="293" customWidth="1"/>
    <col min="253" max="253" width="12.5" style="293" customWidth="1"/>
    <col min="254" max="254" width="9.75" style="293" customWidth="1"/>
    <col min="255" max="255" width="8" style="293" customWidth="1"/>
    <col min="256" max="256" width="11.25" style="293" customWidth="1"/>
    <col min="257" max="257" width="13.5" style="293" customWidth="1"/>
    <col min="258" max="258" width="14.625" style="293" customWidth="1"/>
    <col min="259" max="503" width="9" style="293"/>
    <col min="504" max="504" width="4" style="293" customWidth="1"/>
    <col min="505" max="505" width="7.125" style="293" customWidth="1"/>
    <col min="506" max="506" width="6.625" style="293" customWidth="1"/>
    <col min="507" max="507" width="8" style="293" customWidth="1"/>
    <col min="508" max="508" width="18.875" style="293" customWidth="1"/>
    <col min="509" max="509" width="12.5" style="293" customWidth="1"/>
    <col min="510" max="510" width="9.75" style="293" customWidth="1"/>
    <col min="511" max="511" width="8" style="293" customWidth="1"/>
    <col min="512" max="512" width="11.25" style="293" customWidth="1"/>
    <col min="513" max="513" width="13.5" style="293" customWidth="1"/>
    <col min="514" max="514" width="14.625" style="293" customWidth="1"/>
    <col min="515" max="759" width="9" style="293"/>
    <col min="760" max="760" width="4" style="293" customWidth="1"/>
    <col min="761" max="761" width="7.125" style="293" customWidth="1"/>
    <col min="762" max="762" width="6.625" style="293" customWidth="1"/>
    <col min="763" max="763" width="8" style="293" customWidth="1"/>
    <col min="764" max="764" width="18.875" style="293" customWidth="1"/>
    <col min="765" max="765" width="12.5" style="293" customWidth="1"/>
    <col min="766" max="766" width="9.75" style="293" customWidth="1"/>
    <col min="767" max="767" width="8" style="293" customWidth="1"/>
    <col min="768" max="768" width="11.25" style="293" customWidth="1"/>
    <col min="769" max="769" width="13.5" style="293" customWidth="1"/>
    <col min="770" max="770" width="14.625" style="293" customWidth="1"/>
    <col min="771" max="1015" width="9" style="293"/>
    <col min="1016" max="1016" width="4" style="293" customWidth="1"/>
    <col min="1017" max="1017" width="7.125" style="293" customWidth="1"/>
    <col min="1018" max="1018" width="6.625" style="293" customWidth="1"/>
    <col min="1019" max="1019" width="8" style="293" customWidth="1"/>
    <col min="1020" max="1020" width="18.875" style="293" customWidth="1"/>
    <col min="1021" max="1021" width="12.5" style="293" customWidth="1"/>
    <col min="1022" max="1022" width="9.75" style="293" customWidth="1"/>
    <col min="1023" max="1023" width="8" style="293" customWidth="1"/>
    <col min="1024" max="1024" width="11.25" style="293" customWidth="1"/>
    <col min="1025" max="1025" width="13.5" style="293" customWidth="1"/>
    <col min="1026" max="1026" width="14.625" style="293" customWidth="1"/>
    <col min="1027" max="1271" width="9" style="293"/>
    <col min="1272" max="1272" width="4" style="293" customWidth="1"/>
    <col min="1273" max="1273" width="7.125" style="293" customWidth="1"/>
    <col min="1274" max="1274" width="6.625" style="293" customWidth="1"/>
    <col min="1275" max="1275" width="8" style="293" customWidth="1"/>
    <col min="1276" max="1276" width="18.875" style="293" customWidth="1"/>
    <col min="1277" max="1277" width="12.5" style="293" customWidth="1"/>
    <col min="1278" max="1278" width="9.75" style="293" customWidth="1"/>
    <col min="1279" max="1279" width="8" style="293" customWidth="1"/>
    <col min="1280" max="1280" width="11.25" style="293" customWidth="1"/>
    <col min="1281" max="1281" width="13.5" style="293" customWidth="1"/>
    <col min="1282" max="1282" width="14.625" style="293" customWidth="1"/>
    <col min="1283" max="1527" width="9" style="293"/>
    <col min="1528" max="1528" width="4" style="293" customWidth="1"/>
    <col min="1529" max="1529" width="7.125" style="293" customWidth="1"/>
    <col min="1530" max="1530" width="6.625" style="293" customWidth="1"/>
    <col min="1531" max="1531" width="8" style="293" customWidth="1"/>
    <col min="1532" max="1532" width="18.875" style="293" customWidth="1"/>
    <col min="1533" max="1533" width="12.5" style="293" customWidth="1"/>
    <col min="1534" max="1534" width="9.75" style="293" customWidth="1"/>
    <col min="1535" max="1535" width="8" style="293" customWidth="1"/>
    <col min="1536" max="1536" width="11.25" style="293" customWidth="1"/>
    <col min="1537" max="1537" width="13.5" style="293" customWidth="1"/>
    <col min="1538" max="1538" width="14.625" style="293" customWidth="1"/>
    <col min="1539" max="1783" width="9" style="293"/>
    <col min="1784" max="1784" width="4" style="293" customWidth="1"/>
    <col min="1785" max="1785" width="7.125" style="293" customWidth="1"/>
    <col min="1786" max="1786" width="6.625" style="293" customWidth="1"/>
    <col min="1787" max="1787" width="8" style="293" customWidth="1"/>
    <col min="1788" max="1788" width="18.875" style="293" customWidth="1"/>
    <col min="1789" max="1789" width="12.5" style="293" customWidth="1"/>
    <col min="1790" max="1790" width="9.75" style="293" customWidth="1"/>
    <col min="1791" max="1791" width="8" style="293" customWidth="1"/>
    <col min="1792" max="1792" width="11.25" style="293" customWidth="1"/>
    <col min="1793" max="1793" width="13.5" style="293" customWidth="1"/>
    <col min="1794" max="1794" width="14.625" style="293" customWidth="1"/>
    <col min="1795" max="2039" width="9" style="293"/>
    <col min="2040" max="2040" width="4" style="293" customWidth="1"/>
    <col min="2041" max="2041" width="7.125" style="293" customWidth="1"/>
    <col min="2042" max="2042" width="6.625" style="293" customWidth="1"/>
    <col min="2043" max="2043" width="8" style="293" customWidth="1"/>
    <col min="2044" max="2044" width="18.875" style="293" customWidth="1"/>
    <col min="2045" max="2045" width="12.5" style="293" customWidth="1"/>
    <col min="2046" max="2046" width="9.75" style="293" customWidth="1"/>
    <col min="2047" max="2047" width="8" style="293" customWidth="1"/>
    <col min="2048" max="2048" width="11.25" style="293" customWidth="1"/>
    <col min="2049" max="2049" width="13.5" style="293" customWidth="1"/>
    <col min="2050" max="2050" width="14.625" style="293" customWidth="1"/>
    <col min="2051" max="2295" width="9" style="293"/>
    <col min="2296" max="2296" width="4" style="293" customWidth="1"/>
    <col min="2297" max="2297" width="7.125" style="293" customWidth="1"/>
    <col min="2298" max="2298" width="6.625" style="293" customWidth="1"/>
    <col min="2299" max="2299" width="8" style="293" customWidth="1"/>
    <col min="2300" max="2300" width="18.875" style="293" customWidth="1"/>
    <col min="2301" max="2301" width="12.5" style="293" customWidth="1"/>
    <col min="2302" max="2302" width="9.75" style="293" customWidth="1"/>
    <col min="2303" max="2303" width="8" style="293" customWidth="1"/>
    <col min="2304" max="2304" width="11.25" style="293" customWidth="1"/>
    <col min="2305" max="2305" width="13.5" style="293" customWidth="1"/>
    <col min="2306" max="2306" width="14.625" style="293" customWidth="1"/>
    <col min="2307" max="2551" width="9" style="293"/>
    <col min="2552" max="2552" width="4" style="293" customWidth="1"/>
    <col min="2553" max="2553" width="7.125" style="293" customWidth="1"/>
    <col min="2554" max="2554" width="6.625" style="293" customWidth="1"/>
    <col min="2555" max="2555" width="8" style="293" customWidth="1"/>
    <col min="2556" max="2556" width="18.875" style="293" customWidth="1"/>
    <col min="2557" max="2557" width="12.5" style="293" customWidth="1"/>
    <col min="2558" max="2558" width="9.75" style="293" customWidth="1"/>
    <col min="2559" max="2559" width="8" style="293" customWidth="1"/>
    <col min="2560" max="2560" width="11.25" style="293" customWidth="1"/>
    <col min="2561" max="2561" width="13.5" style="293" customWidth="1"/>
    <col min="2562" max="2562" width="14.625" style="293" customWidth="1"/>
    <col min="2563" max="2807" width="9" style="293"/>
    <col min="2808" max="2808" width="4" style="293" customWidth="1"/>
    <col min="2809" max="2809" width="7.125" style="293" customWidth="1"/>
    <col min="2810" max="2810" width="6.625" style="293" customWidth="1"/>
    <col min="2811" max="2811" width="8" style="293" customWidth="1"/>
    <col min="2812" max="2812" width="18.875" style="293" customWidth="1"/>
    <col min="2813" max="2813" width="12.5" style="293" customWidth="1"/>
    <col min="2814" max="2814" width="9.75" style="293" customWidth="1"/>
    <col min="2815" max="2815" width="8" style="293" customWidth="1"/>
    <col min="2816" max="2816" width="11.25" style="293" customWidth="1"/>
    <col min="2817" max="2817" width="13.5" style="293" customWidth="1"/>
    <col min="2818" max="2818" width="14.625" style="293" customWidth="1"/>
    <col min="2819" max="3063" width="9" style="293"/>
    <col min="3064" max="3064" width="4" style="293" customWidth="1"/>
    <col min="3065" max="3065" width="7.125" style="293" customWidth="1"/>
    <col min="3066" max="3066" width="6.625" style="293" customWidth="1"/>
    <col min="3067" max="3067" width="8" style="293" customWidth="1"/>
    <col min="3068" max="3068" width="18.875" style="293" customWidth="1"/>
    <col min="3069" max="3069" width="12.5" style="293" customWidth="1"/>
    <col min="3070" max="3070" width="9.75" style="293" customWidth="1"/>
    <col min="3071" max="3071" width="8" style="293" customWidth="1"/>
    <col min="3072" max="3072" width="11.25" style="293" customWidth="1"/>
    <col min="3073" max="3073" width="13.5" style="293" customWidth="1"/>
    <col min="3074" max="3074" width="14.625" style="293" customWidth="1"/>
    <col min="3075" max="3319" width="9" style="293"/>
    <col min="3320" max="3320" width="4" style="293" customWidth="1"/>
    <col min="3321" max="3321" width="7.125" style="293" customWidth="1"/>
    <col min="3322" max="3322" width="6.625" style="293" customWidth="1"/>
    <col min="3323" max="3323" width="8" style="293" customWidth="1"/>
    <col min="3324" max="3324" width="18.875" style="293" customWidth="1"/>
    <col min="3325" max="3325" width="12.5" style="293" customWidth="1"/>
    <col min="3326" max="3326" width="9.75" style="293" customWidth="1"/>
    <col min="3327" max="3327" width="8" style="293" customWidth="1"/>
    <col min="3328" max="3328" width="11.25" style="293" customWidth="1"/>
    <col min="3329" max="3329" width="13.5" style="293" customWidth="1"/>
    <col min="3330" max="3330" width="14.625" style="293" customWidth="1"/>
    <col min="3331" max="3575" width="9" style="293"/>
    <col min="3576" max="3576" width="4" style="293" customWidth="1"/>
    <col min="3577" max="3577" width="7.125" style="293" customWidth="1"/>
    <col min="3578" max="3578" width="6.625" style="293" customWidth="1"/>
    <col min="3579" max="3579" width="8" style="293" customWidth="1"/>
    <col min="3580" max="3580" width="18.875" style="293" customWidth="1"/>
    <col min="3581" max="3581" width="12.5" style="293" customWidth="1"/>
    <col min="3582" max="3582" width="9.75" style="293" customWidth="1"/>
    <col min="3583" max="3583" width="8" style="293" customWidth="1"/>
    <col min="3584" max="3584" width="11.25" style="293" customWidth="1"/>
    <col min="3585" max="3585" width="13.5" style="293" customWidth="1"/>
    <col min="3586" max="3586" width="14.625" style="293" customWidth="1"/>
    <col min="3587" max="3831" width="9" style="293"/>
    <col min="3832" max="3832" width="4" style="293" customWidth="1"/>
    <col min="3833" max="3833" width="7.125" style="293" customWidth="1"/>
    <col min="3834" max="3834" width="6.625" style="293" customWidth="1"/>
    <col min="3835" max="3835" width="8" style="293" customWidth="1"/>
    <col min="3836" max="3836" width="18.875" style="293" customWidth="1"/>
    <col min="3837" max="3837" width="12.5" style="293" customWidth="1"/>
    <col min="3838" max="3838" width="9.75" style="293" customWidth="1"/>
    <col min="3839" max="3839" width="8" style="293" customWidth="1"/>
    <col min="3840" max="3840" width="11.25" style="293" customWidth="1"/>
    <col min="3841" max="3841" width="13.5" style="293" customWidth="1"/>
    <col min="3842" max="3842" width="14.625" style="293" customWidth="1"/>
    <col min="3843" max="4087" width="9" style="293"/>
    <col min="4088" max="4088" width="4" style="293" customWidth="1"/>
    <col min="4089" max="4089" width="7.125" style="293" customWidth="1"/>
    <col min="4090" max="4090" width="6.625" style="293" customWidth="1"/>
    <col min="4091" max="4091" width="8" style="293" customWidth="1"/>
    <col min="4092" max="4092" width="18.875" style="293" customWidth="1"/>
    <col min="4093" max="4093" width="12.5" style="293" customWidth="1"/>
    <col min="4094" max="4094" width="9.75" style="293" customWidth="1"/>
    <col min="4095" max="4095" width="8" style="293" customWidth="1"/>
    <col min="4096" max="4096" width="11.25" style="293" customWidth="1"/>
    <col min="4097" max="4097" width="13.5" style="293" customWidth="1"/>
    <col min="4098" max="4098" width="14.625" style="293" customWidth="1"/>
    <col min="4099" max="4343" width="9" style="293"/>
    <col min="4344" max="4344" width="4" style="293" customWidth="1"/>
    <col min="4345" max="4345" width="7.125" style="293" customWidth="1"/>
    <col min="4346" max="4346" width="6.625" style="293" customWidth="1"/>
    <col min="4347" max="4347" width="8" style="293" customWidth="1"/>
    <col min="4348" max="4348" width="18.875" style="293" customWidth="1"/>
    <col min="4349" max="4349" width="12.5" style="293" customWidth="1"/>
    <col min="4350" max="4350" width="9.75" style="293" customWidth="1"/>
    <col min="4351" max="4351" width="8" style="293" customWidth="1"/>
    <col min="4352" max="4352" width="11.25" style="293" customWidth="1"/>
    <col min="4353" max="4353" width="13.5" style="293" customWidth="1"/>
    <col min="4354" max="4354" width="14.625" style="293" customWidth="1"/>
    <col min="4355" max="4599" width="9" style="293"/>
    <col min="4600" max="4600" width="4" style="293" customWidth="1"/>
    <col min="4601" max="4601" width="7.125" style="293" customWidth="1"/>
    <col min="4602" max="4602" width="6.625" style="293" customWidth="1"/>
    <col min="4603" max="4603" width="8" style="293" customWidth="1"/>
    <col min="4604" max="4604" width="18.875" style="293" customWidth="1"/>
    <col min="4605" max="4605" width="12.5" style="293" customWidth="1"/>
    <col min="4606" max="4606" width="9.75" style="293" customWidth="1"/>
    <col min="4607" max="4607" width="8" style="293" customWidth="1"/>
    <col min="4608" max="4608" width="11.25" style="293" customWidth="1"/>
    <col min="4609" max="4609" width="13.5" style="293" customWidth="1"/>
    <col min="4610" max="4610" width="14.625" style="293" customWidth="1"/>
    <col min="4611" max="4855" width="9" style="293"/>
    <col min="4856" max="4856" width="4" style="293" customWidth="1"/>
    <col min="4857" max="4857" width="7.125" style="293" customWidth="1"/>
    <col min="4858" max="4858" width="6.625" style="293" customWidth="1"/>
    <col min="4859" max="4859" width="8" style="293" customWidth="1"/>
    <col min="4860" max="4860" width="18.875" style="293" customWidth="1"/>
    <col min="4861" max="4861" width="12.5" style="293" customWidth="1"/>
    <col min="4862" max="4862" width="9.75" style="293" customWidth="1"/>
    <col min="4863" max="4863" width="8" style="293" customWidth="1"/>
    <col min="4864" max="4864" width="11.25" style="293" customWidth="1"/>
    <col min="4865" max="4865" width="13.5" style="293" customWidth="1"/>
    <col min="4866" max="4866" width="14.625" style="293" customWidth="1"/>
    <col min="4867" max="5111" width="9" style="293"/>
    <col min="5112" max="5112" width="4" style="293" customWidth="1"/>
    <col min="5113" max="5113" width="7.125" style="293" customWidth="1"/>
    <col min="5114" max="5114" width="6.625" style="293" customWidth="1"/>
    <col min="5115" max="5115" width="8" style="293" customWidth="1"/>
    <col min="5116" max="5116" width="18.875" style="293" customWidth="1"/>
    <col min="5117" max="5117" width="12.5" style="293" customWidth="1"/>
    <col min="5118" max="5118" width="9.75" style="293" customWidth="1"/>
    <col min="5119" max="5119" width="8" style="293" customWidth="1"/>
    <col min="5120" max="5120" width="11.25" style="293" customWidth="1"/>
    <col min="5121" max="5121" width="13.5" style="293" customWidth="1"/>
    <col min="5122" max="5122" width="14.625" style="293" customWidth="1"/>
    <col min="5123" max="5367" width="9" style="293"/>
    <col min="5368" max="5368" width="4" style="293" customWidth="1"/>
    <col min="5369" max="5369" width="7.125" style="293" customWidth="1"/>
    <col min="5370" max="5370" width="6.625" style="293" customWidth="1"/>
    <col min="5371" max="5371" width="8" style="293" customWidth="1"/>
    <col min="5372" max="5372" width="18.875" style="293" customWidth="1"/>
    <col min="5373" max="5373" width="12.5" style="293" customWidth="1"/>
    <col min="5374" max="5374" width="9.75" style="293" customWidth="1"/>
    <col min="5375" max="5375" width="8" style="293" customWidth="1"/>
    <col min="5376" max="5376" width="11.25" style="293" customWidth="1"/>
    <col min="5377" max="5377" width="13.5" style="293" customWidth="1"/>
    <col min="5378" max="5378" width="14.625" style="293" customWidth="1"/>
    <col min="5379" max="5623" width="9" style="293"/>
    <col min="5624" max="5624" width="4" style="293" customWidth="1"/>
    <col min="5625" max="5625" width="7.125" style="293" customWidth="1"/>
    <col min="5626" max="5626" width="6.625" style="293" customWidth="1"/>
    <col min="5627" max="5627" width="8" style="293" customWidth="1"/>
    <col min="5628" max="5628" width="18.875" style="293" customWidth="1"/>
    <col min="5629" max="5629" width="12.5" style="293" customWidth="1"/>
    <col min="5630" max="5630" width="9.75" style="293" customWidth="1"/>
    <col min="5631" max="5631" width="8" style="293" customWidth="1"/>
    <col min="5632" max="5632" width="11.25" style="293" customWidth="1"/>
    <col min="5633" max="5633" width="13.5" style="293" customWidth="1"/>
    <col min="5634" max="5634" width="14.625" style="293" customWidth="1"/>
    <col min="5635" max="5879" width="9" style="293"/>
    <col min="5880" max="5880" width="4" style="293" customWidth="1"/>
    <col min="5881" max="5881" width="7.125" style="293" customWidth="1"/>
    <col min="5882" max="5882" width="6.625" style="293" customWidth="1"/>
    <col min="5883" max="5883" width="8" style="293" customWidth="1"/>
    <col min="5884" max="5884" width="18.875" style="293" customWidth="1"/>
    <col min="5885" max="5885" width="12.5" style="293" customWidth="1"/>
    <col min="5886" max="5886" width="9.75" style="293" customWidth="1"/>
    <col min="5887" max="5887" width="8" style="293" customWidth="1"/>
    <col min="5888" max="5888" width="11.25" style="293" customWidth="1"/>
    <col min="5889" max="5889" width="13.5" style="293" customWidth="1"/>
    <col min="5890" max="5890" width="14.625" style="293" customWidth="1"/>
    <col min="5891" max="6135" width="9" style="293"/>
    <col min="6136" max="6136" width="4" style="293" customWidth="1"/>
    <col min="6137" max="6137" width="7.125" style="293" customWidth="1"/>
    <col min="6138" max="6138" width="6.625" style="293" customWidth="1"/>
    <col min="6139" max="6139" width="8" style="293" customWidth="1"/>
    <col min="6140" max="6140" width="18.875" style="293" customWidth="1"/>
    <col min="6141" max="6141" width="12.5" style="293" customWidth="1"/>
    <col min="6142" max="6142" width="9.75" style="293" customWidth="1"/>
    <col min="6143" max="6143" width="8" style="293" customWidth="1"/>
    <col min="6144" max="6144" width="11.25" style="293" customWidth="1"/>
    <col min="6145" max="6145" width="13.5" style="293" customWidth="1"/>
    <col min="6146" max="6146" width="14.625" style="293" customWidth="1"/>
    <col min="6147" max="6391" width="9" style="293"/>
    <col min="6392" max="6392" width="4" style="293" customWidth="1"/>
    <col min="6393" max="6393" width="7.125" style="293" customWidth="1"/>
    <col min="6394" max="6394" width="6.625" style="293" customWidth="1"/>
    <col min="6395" max="6395" width="8" style="293" customWidth="1"/>
    <col min="6396" max="6396" width="18.875" style="293" customWidth="1"/>
    <col min="6397" max="6397" width="12.5" style="293" customWidth="1"/>
    <col min="6398" max="6398" width="9.75" style="293" customWidth="1"/>
    <col min="6399" max="6399" width="8" style="293" customWidth="1"/>
    <col min="6400" max="6400" width="11.25" style="293" customWidth="1"/>
    <col min="6401" max="6401" width="13.5" style="293" customWidth="1"/>
    <col min="6402" max="6402" width="14.625" style="293" customWidth="1"/>
    <col min="6403" max="6647" width="9" style="293"/>
    <col min="6648" max="6648" width="4" style="293" customWidth="1"/>
    <col min="6649" max="6649" width="7.125" style="293" customWidth="1"/>
    <col min="6650" max="6650" width="6.625" style="293" customWidth="1"/>
    <col min="6651" max="6651" width="8" style="293" customWidth="1"/>
    <col min="6652" max="6652" width="18.875" style="293" customWidth="1"/>
    <col min="6653" max="6653" width="12.5" style="293" customWidth="1"/>
    <col min="6654" max="6654" width="9.75" style="293" customWidth="1"/>
    <col min="6655" max="6655" width="8" style="293" customWidth="1"/>
    <col min="6656" max="6656" width="11.25" style="293" customWidth="1"/>
    <col min="6657" max="6657" width="13.5" style="293" customWidth="1"/>
    <col min="6658" max="6658" width="14.625" style="293" customWidth="1"/>
    <col min="6659" max="6903" width="9" style="293"/>
    <col min="6904" max="6904" width="4" style="293" customWidth="1"/>
    <col min="6905" max="6905" width="7.125" style="293" customWidth="1"/>
    <col min="6906" max="6906" width="6.625" style="293" customWidth="1"/>
    <col min="6907" max="6907" width="8" style="293" customWidth="1"/>
    <col min="6908" max="6908" width="18.875" style="293" customWidth="1"/>
    <col min="6909" max="6909" width="12.5" style="293" customWidth="1"/>
    <col min="6910" max="6910" width="9.75" style="293" customWidth="1"/>
    <col min="6911" max="6911" width="8" style="293" customWidth="1"/>
    <col min="6912" max="6912" width="11.25" style="293" customWidth="1"/>
    <col min="6913" max="6913" width="13.5" style="293" customWidth="1"/>
    <col min="6914" max="6914" width="14.625" style="293" customWidth="1"/>
    <col min="6915" max="7159" width="9" style="293"/>
    <col min="7160" max="7160" width="4" style="293" customWidth="1"/>
    <col min="7161" max="7161" width="7.125" style="293" customWidth="1"/>
    <col min="7162" max="7162" width="6.625" style="293" customWidth="1"/>
    <col min="7163" max="7163" width="8" style="293" customWidth="1"/>
    <col min="7164" max="7164" width="18.875" style="293" customWidth="1"/>
    <col min="7165" max="7165" width="12.5" style="293" customWidth="1"/>
    <col min="7166" max="7166" width="9.75" style="293" customWidth="1"/>
    <col min="7167" max="7167" width="8" style="293" customWidth="1"/>
    <col min="7168" max="7168" width="11.25" style="293" customWidth="1"/>
    <col min="7169" max="7169" width="13.5" style="293" customWidth="1"/>
    <col min="7170" max="7170" width="14.625" style="293" customWidth="1"/>
    <col min="7171" max="7415" width="9" style="293"/>
    <col min="7416" max="7416" width="4" style="293" customWidth="1"/>
    <col min="7417" max="7417" width="7.125" style="293" customWidth="1"/>
    <col min="7418" max="7418" width="6.625" style="293" customWidth="1"/>
    <col min="7419" max="7419" width="8" style="293" customWidth="1"/>
    <col min="7420" max="7420" width="18.875" style="293" customWidth="1"/>
    <col min="7421" max="7421" width="12.5" style="293" customWidth="1"/>
    <col min="7422" max="7422" width="9.75" style="293" customWidth="1"/>
    <col min="7423" max="7423" width="8" style="293" customWidth="1"/>
    <col min="7424" max="7424" width="11.25" style="293" customWidth="1"/>
    <col min="7425" max="7425" width="13.5" style="293" customWidth="1"/>
    <col min="7426" max="7426" width="14.625" style="293" customWidth="1"/>
    <col min="7427" max="7671" width="9" style="293"/>
    <col min="7672" max="7672" width="4" style="293" customWidth="1"/>
    <col min="7673" max="7673" width="7.125" style="293" customWidth="1"/>
    <col min="7674" max="7674" width="6.625" style="293" customWidth="1"/>
    <col min="7675" max="7675" width="8" style="293" customWidth="1"/>
    <col min="7676" max="7676" width="18.875" style="293" customWidth="1"/>
    <col min="7677" max="7677" width="12.5" style="293" customWidth="1"/>
    <col min="7678" max="7678" width="9.75" style="293" customWidth="1"/>
    <col min="7679" max="7679" width="8" style="293" customWidth="1"/>
    <col min="7680" max="7680" width="11.25" style="293" customWidth="1"/>
    <col min="7681" max="7681" width="13.5" style="293" customWidth="1"/>
    <col min="7682" max="7682" width="14.625" style="293" customWidth="1"/>
    <col min="7683" max="7927" width="9" style="293"/>
    <col min="7928" max="7928" width="4" style="293" customWidth="1"/>
    <col min="7929" max="7929" width="7.125" style="293" customWidth="1"/>
    <col min="7930" max="7930" width="6.625" style="293" customWidth="1"/>
    <col min="7931" max="7931" width="8" style="293" customWidth="1"/>
    <col min="7932" max="7932" width="18.875" style="293" customWidth="1"/>
    <col min="7933" max="7933" width="12.5" style="293" customWidth="1"/>
    <col min="7934" max="7934" width="9.75" style="293" customWidth="1"/>
    <col min="7935" max="7935" width="8" style="293" customWidth="1"/>
    <col min="7936" max="7936" width="11.25" style="293" customWidth="1"/>
    <col min="7937" max="7937" width="13.5" style="293" customWidth="1"/>
    <col min="7938" max="7938" width="14.625" style="293" customWidth="1"/>
    <col min="7939" max="8183" width="9" style="293"/>
    <col min="8184" max="8184" width="4" style="293" customWidth="1"/>
    <col min="8185" max="8185" width="7.125" style="293" customWidth="1"/>
    <col min="8186" max="8186" width="6.625" style="293" customWidth="1"/>
    <col min="8187" max="8187" width="8" style="293" customWidth="1"/>
    <col min="8188" max="8188" width="18.875" style="293" customWidth="1"/>
    <col min="8189" max="8189" width="12.5" style="293" customWidth="1"/>
    <col min="8190" max="8190" width="9.75" style="293" customWidth="1"/>
    <col min="8191" max="8191" width="8" style="293" customWidth="1"/>
    <col min="8192" max="8192" width="11.25" style="293" customWidth="1"/>
    <col min="8193" max="8193" width="13.5" style="293" customWidth="1"/>
    <col min="8194" max="8194" width="14.625" style="293" customWidth="1"/>
    <col min="8195" max="8439" width="9" style="293"/>
    <col min="8440" max="8440" width="4" style="293" customWidth="1"/>
    <col min="8441" max="8441" width="7.125" style="293" customWidth="1"/>
    <col min="8442" max="8442" width="6.625" style="293" customWidth="1"/>
    <col min="8443" max="8443" width="8" style="293" customWidth="1"/>
    <col min="8444" max="8444" width="18.875" style="293" customWidth="1"/>
    <col min="8445" max="8445" width="12.5" style="293" customWidth="1"/>
    <col min="8446" max="8446" width="9.75" style="293" customWidth="1"/>
    <col min="8447" max="8447" width="8" style="293" customWidth="1"/>
    <col min="8448" max="8448" width="11.25" style="293" customWidth="1"/>
    <col min="8449" max="8449" width="13.5" style="293" customWidth="1"/>
    <col min="8450" max="8450" width="14.625" style="293" customWidth="1"/>
    <col min="8451" max="8695" width="9" style="293"/>
    <col min="8696" max="8696" width="4" style="293" customWidth="1"/>
    <col min="8697" max="8697" width="7.125" style="293" customWidth="1"/>
    <col min="8698" max="8698" width="6.625" style="293" customWidth="1"/>
    <col min="8699" max="8699" width="8" style="293" customWidth="1"/>
    <col min="8700" max="8700" width="18.875" style="293" customWidth="1"/>
    <col min="8701" max="8701" width="12.5" style="293" customWidth="1"/>
    <col min="8702" max="8702" width="9.75" style="293" customWidth="1"/>
    <col min="8703" max="8703" width="8" style="293" customWidth="1"/>
    <col min="8704" max="8704" width="11.25" style="293" customWidth="1"/>
    <col min="8705" max="8705" width="13.5" style="293" customWidth="1"/>
    <col min="8706" max="8706" width="14.625" style="293" customWidth="1"/>
    <col min="8707" max="8951" width="9" style="293"/>
    <col min="8952" max="8952" width="4" style="293" customWidth="1"/>
    <col min="8953" max="8953" width="7.125" style="293" customWidth="1"/>
    <col min="8954" max="8954" width="6.625" style="293" customWidth="1"/>
    <col min="8955" max="8955" width="8" style="293" customWidth="1"/>
    <col min="8956" max="8956" width="18.875" style="293" customWidth="1"/>
    <col min="8957" max="8957" width="12.5" style="293" customWidth="1"/>
    <col min="8958" max="8958" width="9.75" style="293" customWidth="1"/>
    <col min="8959" max="8959" width="8" style="293" customWidth="1"/>
    <col min="8960" max="8960" width="11.25" style="293" customWidth="1"/>
    <col min="8961" max="8961" width="13.5" style="293" customWidth="1"/>
    <col min="8962" max="8962" width="14.625" style="293" customWidth="1"/>
    <col min="8963" max="9207" width="9" style="293"/>
    <col min="9208" max="9208" width="4" style="293" customWidth="1"/>
    <col min="9209" max="9209" width="7.125" style="293" customWidth="1"/>
    <col min="9210" max="9210" width="6.625" style="293" customWidth="1"/>
    <col min="9211" max="9211" width="8" style="293" customWidth="1"/>
    <col min="9212" max="9212" width="18.875" style="293" customWidth="1"/>
    <col min="9213" max="9213" width="12.5" style="293" customWidth="1"/>
    <col min="9214" max="9214" width="9.75" style="293" customWidth="1"/>
    <col min="9215" max="9215" width="8" style="293" customWidth="1"/>
    <col min="9216" max="9216" width="11.25" style="293" customWidth="1"/>
    <col min="9217" max="9217" width="13.5" style="293" customWidth="1"/>
    <col min="9218" max="9218" width="14.625" style="293" customWidth="1"/>
    <col min="9219" max="9463" width="9" style="293"/>
    <col min="9464" max="9464" width="4" style="293" customWidth="1"/>
    <col min="9465" max="9465" width="7.125" style="293" customWidth="1"/>
    <col min="9466" max="9466" width="6.625" style="293" customWidth="1"/>
    <col min="9467" max="9467" width="8" style="293" customWidth="1"/>
    <col min="9468" max="9468" width="18.875" style="293" customWidth="1"/>
    <col min="9469" max="9469" width="12.5" style="293" customWidth="1"/>
    <col min="9470" max="9470" width="9.75" style="293" customWidth="1"/>
    <col min="9471" max="9471" width="8" style="293" customWidth="1"/>
    <col min="9472" max="9472" width="11.25" style="293" customWidth="1"/>
    <col min="9473" max="9473" width="13.5" style="293" customWidth="1"/>
    <col min="9474" max="9474" width="14.625" style="293" customWidth="1"/>
    <col min="9475" max="9719" width="9" style="293"/>
    <col min="9720" max="9720" width="4" style="293" customWidth="1"/>
    <col min="9721" max="9721" width="7.125" style="293" customWidth="1"/>
    <col min="9722" max="9722" width="6.625" style="293" customWidth="1"/>
    <col min="9723" max="9723" width="8" style="293" customWidth="1"/>
    <col min="9724" max="9724" width="18.875" style="293" customWidth="1"/>
    <col min="9725" max="9725" width="12.5" style="293" customWidth="1"/>
    <col min="9726" max="9726" width="9.75" style="293" customWidth="1"/>
    <col min="9727" max="9727" width="8" style="293" customWidth="1"/>
    <col min="9728" max="9728" width="11.25" style="293" customWidth="1"/>
    <col min="9729" max="9729" width="13.5" style="293" customWidth="1"/>
    <col min="9730" max="9730" width="14.625" style="293" customWidth="1"/>
    <col min="9731" max="9975" width="9" style="293"/>
    <col min="9976" max="9976" width="4" style="293" customWidth="1"/>
    <col min="9977" max="9977" width="7.125" style="293" customWidth="1"/>
    <col min="9978" max="9978" width="6.625" style="293" customWidth="1"/>
    <col min="9979" max="9979" width="8" style="293" customWidth="1"/>
    <col min="9980" max="9980" width="18.875" style="293" customWidth="1"/>
    <col min="9981" max="9981" width="12.5" style="293" customWidth="1"/>
    <col min="9982" max="9982" width="9.75" style="293" customWidth="1"/>
    <col min="9983" max="9983" width="8" style="293" customWidth="1"/>
    <col min="9984" max="9984" width="11.25" style="293" customWidth="1"/>
    <col min="9985" max="9985" width="13.5" style="293" customWidth="1"/>
    <col min="9986" max="9986" width="14.625" style="293" customWidth="1"/>
    <col min="9987" max="10231" width="9" style="293"/>
    <col min="10232" max="10232" width="4" style="293" customWidth="1"/>
    <col min="10233" max="10233" width="7.125" style="293" customWidth="1"/>
    <col min="10234" max="10234" width="6.625" style="293" customWidth="1"/>
    <col min="10235" max="10235" width="8" style="293" customWidth="1"/>
    <col min="10236" max="10236" width="18.875" style="293" customWidth="1"/>
    <col min="10237" max="10237" width="12.5" style="293" customWidth="1"/>
    <col min="10238" max="10238" width="9.75" style="293" customWidth="1"/>
    <col min="10239" max="10239" width="8" style="293" customWidth="1"/>
    <col min="10240" max="10240" width="11.25" style="293" customWidth="1"/>
    <col min="10241" max="10241" width="13.5" style="293" customWidth="1"/>
    <col min="10242" max="10242" width="14.625" style="293" customWidth="1"/>
    <col min="10243" max="10487" width="9" style="293"/>
    <col min="10488" max="10488" width="4" style="293" customWidth="1"/>
    <col min="10489" max="10489" width="7.125" style="293" customWidth="1"/>
    <col min="10490" max="10490" width="6.625" style="293" customWidth="1"/>
    <col min="10491" max="10491" width="8" style="293" customWidth="1"/>
    <col min="10492" max="10492" width="18.875" style="293" customWidth="1"/>
    <col min="10493" max="10493" width="12.5" style="293" customWidth="1"/>
    <col min="10494" max="10494" width="9.75" style="293" customWidth="1"/>
    <col min="10495" max="10495" width="8" style="293" customWidth="1"/>
    <col min="10496" max="10496" width="11.25" style="293" customWidth="1"/>
    <col min="10497" max="10497" width="13.5" style="293" customWidth="1"/>
    <col min="10498" max="10498" width="14.625" style="293" customWidth="1"/>
    <col min="10499" max="10743" width="9" style="293"/>
    <col min="10744" max="10744" width="4" style="293" customWidth="1"/>
    <col min="10745" max="10745" width="7.125" style="293" customWidth="1"/>
    <col min="10746" max="10746" width="6.625" style="293" customWidth="1"/>
    <col min="10747" max="10747" width="8" style="293" customWidth="1"/>
    <col min="10748" max="10748" width="18.875" style="293" customWidth="1"/>
    <col min="10749" max="10749" width="12.5" style="293" customWidth="1"/>
    <col min="10750" max="10750" width="9.75" style="293" customWidth="1"/>
    <col min="10751" max="10751" width="8" style="293" customWidth="1"/>
    <col min="10752" max="10752" width="11.25" style="293" customWidth="1"/>
    <col min="10753" max="10753" width="13.5" style="293" customWidth="1"/>
    <col min="10754" max="10754" width="14.625" style="293" customWidth="1"/>
    <col min="10755" max="10999" width="9" style="293"/>
    <col min="11000" max="11000" width="4" style="293" customWidth="1"/>
    <col min="11001" max="11001" width="7.125" style="293" customWidth="1"/>
    <col min="11002" max="11002" width="6.625" style="293" customWidth="1"/>
    <col min="11003" max="11003" width="8" style="293" customWidth="1"/>
    <col min="11004" max="11004" width="18.875" style="293" customWidth="1"/>
    <col min="11005" max="11005" width="12.5" style="293" customWidth="1"/>
    <col min="11006" max="11006" width="9.75" style="293" customWidth="1"/>
    <col min="11007" max="11007" width="8" style="293" customWidth="1"/>
    <col min="11008" max="11008" width="11.25" style="293" customWidth="1"/>
    <col min="11009" max="11009" width="13.5" style="293" customWidth="1"/>
    <col min="11010" max="11010" width="14.625" style="293" customWidth="1"/>
    <col min="11011" max="11255" width="9" style="293"/>
    <col min="11256" max="11256" width="4" style="293" customWidth="1"/>
    <col min="11257" max="11257" width="7.125" style="293" customWidth="1"/>
    <col min="11258" max="11258" width="6.625" style="293" customWidth="1"/>
    <col min="11259" max="11259" width="8" style="293" customWidth="1"/>
    <col min="11260" max="11260" width="18.875" style="293" customWidth="1"/>
    <col min="11261" max="11261" width="12.5" style="293" customWidth="1"/>
    <col min="11262" max="11262" width="9.75" style="293" customWidth="1"/>
    <col min="11263" max="11263" width="8" style="293" customWidth="1"/>
    <col min="11264" max="11264" width="11.25" style="293" customWidth="1"/>
    <col min="11265" max="11265" width="13.5" style="293" customWidth="1"/>
    <col min="11266" max="11266" width="14.625" style="293" customWidth="1"/>
    <col min="11267" max="11511" width="9" style="293"/>
    <col min="11512" max="11512" width="4" style="293" customWidth="1"/>
    <col min="11513" max="11513" width="7.125" style="293" customWidth="1"/>
    <col min="11514" max="11514" width="6.625" style="293" customWidth="1"/>
    <col min="11515" max="11515" width="8" style="293" customWidth="1"/>
    <col min="11516" max="11516" width="18.875" style="293" customWidth="1"/>
    <col min="11517" max="11517" width="12.5" style="293" customWidth="1"/>
    <col min="11518" max="11518" width="9.75" style="293" customWidth="1"/>
    <col min="11519" max="11519" width="8" style="293" customWidth="1"/>
    <col min="11520" max="11520" width="11.25" style="293" customWidth="1"/>
    <col min="11521" max="11521" width="13.5" style="293" customWidth="1"/>
    <col min="11522" max="11522" width="14.625" style="293" customWidth="1"/>
    <col min="11523" max="11767" width="9" style="293"/>
    <col min="11768" max="11768" width="4" style="293" customWidth="1"/>
    <col min="11769" max="11769" width="7.125" style="293" customWidth="1"/>
    <col min="11770" max="11770" width="6.625" style="293" customWidth="1"/>
    <col min="11771" max="11771" width="8" style="293" customWidth="1"/>
    <col min="11772" max="11772" width="18.875" style="293" customWidth="1"/>
    <col min="11773" max="11773" width="12.5" style="293" customWidth="1"/>
    <col min="11774" max="11774" width="9.75" style="293" customWidth="1"/>
    <col min="11775" max="11775" width="8" style="293" customWidth="1"/>
    <col min="11776" max="11776" width="11.25" style="293" customWidth="1"/>
    <col min="11777" max="11777" width="13.5" style="293" customWidth="1"/>
    <col min="11778" max="11778" width="14.625" style="293" customWidth="1"/>
    <col min="11779" max="12023" width="9" style="293"/>
    <col min="12024" max="12024" width="4" style="293" customWidth="1"/>
    <col min="12025" max="12025" width="7.125" style="293" customWidth="1"/>
    <col min="12026" max="12026" width="6.625" style="293" customWidth="1"/>
    <col min="12027" max="12027" width="8" style="293" customWidth="1"/>
    <col min="12028" max="12028" width="18.875" style="293" customWidth="1"/>
    <col min="12029" max="12029" width="12.5" style="293" customWidth="1"/>
    <col min="12030" max="12030" width="9.75" style="293" customWidth="1"/>
    <col min="12031" max="12031" width="8" style="293" customWidth="1"/>
    <col min="12032" max="12032" width="11.25" style="293" customWidth="1"/>
    <col min="12033" max="12033" width="13.5" style="293" customWidth="1"/>
    <col min="12034" max="12034" width="14.625" style="293" customWidth="1"/>
    <col min="12035" max="12279" width="9" style="293"/>
    <col min="12280" max="12280" width="4" style="293" customWidth="1"/>
    <col min="12281" max="12281" width="7.125" style="293" customWidth="1"/>
    <col min="12282" max="12282" width="6.625" style="293" customWidth="1"/>
    <col min="12283" max="12283" width="8" style="293" customWidth="1"/>
    <col min="12284" max="12284" width="18.875" style="293" customWidth="1"/>
    <col min="12285" max="12285" width="12.5" style="293" customWidth="1"/>
    <col min="12286" max="12286" width="9.75" style="293" customWidth="1"/>
    <col min="12287" max="12287" width="8" style="293" customWidth="1"/>
    <col min="12288" max="12288" width="11.25" style="293" customWidth="1"/>
    <col min="12289" max="12289" width="13.5" style="293" customWidth="1"/>
    <col min="12290" max="12290" width="14.625" style="293" customWidth="1"/>
    <col min="12291" max="12535" width="9" style="293"/>
    <col min="12536" max="12536" width="4" style="293" customWidth="1"/>
    <col min="12537" max="12537" width="7.125" style="293" customWidth="1"/>
    <col min="12538" max="12538" width="6.625" style="293" customWidth="1"/>
    <col min="12539" max="12539" width="8" style="293" customWidth="1"/>
    <col min="12540" max="12540" width="18.875" style="293" customWidth="1"/>
    <col min="12541" max="12541" width="12.5" style="293" customWidth="1"/>
    <col min="12542" max="12542" width="9.75" style="293" customWidth="1"/>
    <col min="12543" max="12543" width="8" style="293" customWidth="1"/>
    <col min="12544" max="12544" width="11.25" style="293" customWidth="1"/>
    <col min="12545" max="12545" width="13.5" style="293" customWidth="1"/>
    <col min="12546" max="12546" width="14.625" style="293" customWidth="1"/>
    <col min="12547" max="12791" width="9" style="293"/>
    <col min="12792" max="12792" width="4" style="293" customWidth="1"/>
    <col min="12793" max="12793" width="7.125" style="293" customWidth="1"/>
    <col min="12794" max="12794" width="6.625" style="293" customWidth="1"/>
    <col min="12795" max="12795" width="8" style="293" customWidth="1"/>
    <col min="12796" max="12796" width="18.875" style="293" customWidth="1"/>
    <col min="12797" max="12797" width="12.5" style="293" customWidth="1"/>
    <col min="12798" max="12798" width="9.75" style="293" customWidth="1"/>
    <col min="12799" max="12799" width="8" style="293" customWidth="1"/>
    <col min="12800" max="12800" width="11.25" style="293" customWidth="1"/>
    <col min="12801" max="12801" width="13.5" style="293" customWidth="1"/>
    <col min="12802" max="12802" width="14.625" style="293" customWidth="1"/>
    <col min="12803" max="13047" width="9" style="293"/>
    <col min="13048" max="13048" width="4" style="293" customWidth="1"/>
    <col min="13049" max="13049" width="7.125" style="293" customWidth="1"/>
    <col min="13050" max="13050" width="6.625" style="293" customWidth="1"/>
    <col min="13051" max="13051" width="8" style="293" customWidth="1"/>
    <col min="13052" max="13052" width="18.875" style="293" customWidth="1"/>
    <col min="13053" max="13053" width="12.5" style="293" customWidth="1"/>
    <col min="13054" max="13054" width="9.75" style="293" customWidth="1"/>
    <col min="13055" max="13055" width="8" style="293" customWidth="1"/>
    <col min="13056" max="13056" width="11.25" style="293" customWidth="1"/>
    <col min="13057" max="13057" width="13.5" style="293" customWidth="1"/>
    <col min="13058" max="13058" width="14.625" style="293" customWidth="1"/>
    <col min="13059" max="13303" width="9" style="293"/>
    <col min="13304" max="13304" width="4" style="293" customWidth="1"/>
    <col min="13305" max="13305" width="7.125" style="293" customWidth="1"/>
    <col min="13306" max="13306" width="6.625" style="293" customWidth="1"/>
    <col min="13307" max="13307" width="8" style="293" customWidth="1"/>
    <col min="13308" max="13308" width="18.875" style="293" customWidth="1"/>
    <col min="13309" max="13309" width="12.5" style="293" customWidth="1"/>
    <col min="13310" max="13310" width="9.75" style="293" customWidth="1"/>
    <col min="13311" max="13311" width="8" style="293" customWidth="1"/>
    <col min="13312" max="13312" width="11.25" style="293" customWidth="1"/>
    <col min="13313" max="13313" width="13.5" style="293" customWidth="1"/>
    <col min="13314" max="13314" width="14.625" style="293" customWidth="1"/>
    <col min="13315" max="13559" width="9" style="293"/>
    <col min="13560" max="13560" width="4" style="293" customWidth="1"/>
    <col min="13561" max="13561" width="7.125" style="293" customWidth="1"/>
    <col min="13562" max="13562" width="6.625" style="293" customWidth="1"/>
    <col min="13563" max="13563" width="8" style="293" customWidth="1"/>
    <col min="13564" max="13564" width="18.875" style="293" customWidth="1"/>
    <col min="13565" max="13565" width="12.5" style="293" customWidth="1"/>
    <col min="13566" max="13566" width="9.75" style="293" customWidth="1"/>
    <col min="13567" max="13567" width="8" style="293" customWidth="1"/>
    <col min="13568" max="13568" width="11.25" style="293" customWidth="1"/>
    <col min="13569" max="13569" width="13.5" style="293" customWidth="1"/>
    <col min="13570" max="13570" width="14.625" style="293" customWidth="1"/>
    <col min="13571" max="13815" width="9" style="293"/>
    <col min="13816" max="13816" width="4" style="293" customWidth="1"/>
    <col min="13817" max="13817" width="7.125" style="293" customWidth="1"/>
    <col min="13818" max="13818" width="6.625" style="293" customWidth="1"/>
    <col min="13819" max="13819" width="8" style="293" customWidth="1"/>
    <col min="13820" max="13820" width="18.875" style="293" customWidth="1"/>
    <col min="13821" max="13821" width="12.5" style="293" customWidth="1"/>
    <col min="13822" max="13822" width="9.75" style="293" customWidth="1"/>
    <col min="13823" max="13823" width="8" style="293" customWidth="1"/>
    <col min="13824" max="13824" width="11.25" style="293" customWidth="1"/>
    <col min="13825" max="13825" width="13.5" style="293" customWidth="1"/>
    <col min="13826" max="13826" width="14.625" style="293" customWidth="1"/>
    <col min="13827" max="14071" width="9" style="293"/>
    <col min="14072" max="14072" width="4" style="293" customWidth="1"/>
    <col min="14073" max="14073" width="7.125" style="293" customWidth="1"/>
    <col min="14074" max="14074" width="6.625" style="293" customWidth="1"/>
    <col min="14075" max="14075" width="8" style="293" customWidth="1"/>
    <col min="14076" max="14076" width="18.875" style="293" customWidth="1"/>
    <col min="14077" max="14077" width="12.5" style="293" customWidth="1"/>
    <col min="14078" max="14078" width="9.75" style="293" customWidth="1"/>
    <col min="14079" max="14079" width="8" style="293" customWidth="1"/>
    <col min="14080" max="14080" width="11.25" style="293" customWidth="1"/>
    <col min="14081" max="14081" width="13.5" style="293" customWidth="1"/>
    <col min="14082" max="14082" width="14.625" style="293" customWidth="1"/>
    <col min="14083" max="14327" width="9" style="293"/>
    <col min="14328" max="14328" width="4" style="293" customWidth="1"/>
    <col min="14329" max="14329" width="7.125" style="293" customWidth="1"/>
    <col min="14330" max="14330" width="6.625" style="293" customWidth="1"/>
    <col min="14331" max="14331" width="8" style="293" customWidth="1"/>
    <col min="14332" max="14332" width="18.875" style="293" customWidth="1"/>
    <col min="14333" max="14333" width="12.5" style="293" customWidth="1"/>
    <col min="14334" max="14334" width="9.75" style="293" customWidth="1"/>
    <col min="14335" max="14335" width="8" style="293" customWidth="1"/>
    <col min="14336" max="14336" width="11.25" style="293" customWidth="1"/>
    <col min="14337" max="14337" width="13.5" style="293" customWidth="1"/>
    <col min="14338" max="14338" width="14.625" style="293" customWidth="1"/>
    <col min="14339" max="14583" width="9" style="293"/>
    <col min="14584" max="14584" width="4" style="293" customWidth="1"/>
    <col min="14585" max="14585" width="7.125" style="293" customWidth="1"/>
    <col min="14586" max="14586" width="6.625" style="293" customWidth="1"/>
    <col min="14587" max="14587" width="8" style="293" customWidth="1"/>
    <col min="14588" max="14588" width="18.875" style="293" customWidth="1"/>
    <col min="14589" max="14589" width="12.5" style="293" customWidth="1"/>
    <col min="14590" max="14590" width="9.75" style="293" customWidth="1"/>
    <col min="14591" max="14591" width="8" style="293" customWidth="1"/>
    <col min="14592" max="14592" width="11.25" style="293" customWidth="1"/>
    <col min="14593" max="14593" width="13.5" style="293" customWidth="1"/>
    <col min="14594" max="14594" width="14.625" style="293" customWidth="1"/>
    <col min="14595" max="14839" width="9" style="293"/>
    <col min="14840" max="14840" width="4" style="293" customWidth="1"/>
    <col min="14841" max="14841" width="7.125" style="293" customWidth="1"/>
    <col min="14842" max="14842" width="6.625" style="293" customWidth="1"/>
    <col min="14843" max="14843" width="8" style="293" customWidth="1"/>
    <col min="14844" max="14844" width="18.875" style="293" customWidth="1"/>
    <col min="14845" max="14845" width="12.5" style="293" customWidth="1"/>
    <col min="14846" max="14846" width="9.75" style="293" customWidth="1"/>
    <col min="14847" max="14847" width="8" style="293" customWidth="1"/>
    <col min="14848" max="14848" width="11.25" style="293" customWidth="1"/>
    <col min="14849" max="14849" width="13.5" style="293" customWidth="1"/>
    <col min="14850" max="14850" width="14.625" style="293" customWidth="1"/>
    <col min="14851" max="15095" width="9" style="293"/>
    <col min="15096" max="15096" width="4" style="293" customWidth="1"/>
    <col min="15097" max="15097" width="7.125" style="293" customWidth="1"/>
    <col min="15098" max="15098" width="6.625" style="293" customWidth="1"/>
    <col min="15099" max="15099" width="8" style="293" customWidth="1"/>
    <col min="15100" max="15100" width="18.875" style="293" customWidth="1"/>
    <col min="15101" max="15101" width="12.5" style="293" customWidth="1"/>
    <col min="15102" max="15102" width="9.75" style="293" customWidth="1"/>
    <col min="15103" max="15103" width="8" style="293" customWidth="1"/>
    <col min="15104" max="15104" width="11.25" style="293" customWidth="1"/>
    <col min="15105" max="15105" width="13.5" style="293" customWidth="1"/>
    <col min="15106" max="15106" width="14.625" style="293" customWidth="1"/>
    <col min="15107" max="15351" width="9" style="293"/>
    <col min="15352" max="15352" width="4" style="293" customWidth="1"/>
    <col min="15353" max="15353" width="7.125" style="293" customWidth="1"/>
    <col min="15354" max="15354" width="6.625" style="293" customWidth="1"/>
    <col min="15355" max="15355" width="8" style="293" customWidth="1"/>
    <col min="15356" max="15356" width="18.875" style="293" customWidth="1"/>
    <col min="15357" max="15357" width="12.5" style="293" customWidth="1"/>
    <col min="15358" max="15358" width="9.75" style="293" customWidth="1"/>
    <col min="15359" max="15359" width="8" style="293" customWidth="1"/>
    <col min="15360" max="15360" width="11.25" style="293" customWidth="1"/>
    <col min="15361" max="15361" width="13.5" style="293" customWidth="1"/>
    <col min="15362" max="15362" width="14.625" style="293" customWidth="1"/>
    <col min="15363" max="15607" width="9" style="293"/>
    <col min="15608" max="15608" width="4" style="293" customWidth="1"/>
    <col min="15609" max="15609" width="7.125" style="293" customWidth="1"/>
    <col min="15610" max="15610" width="6.625" style="293" customWidth="1"/>
    <col min="15611" max="15611" width="8" style="293" customWidth="1"/>
    <col min="15612" max="15612" width="18.875" style="293" customWidth="1"/>
    <col min="15613" max="15613" width="12.5" style="293" customWidth="1"/>
    <col min="15614" max="15614" width="9.75" style="293" customWidth="1"/>
    <col min="15615" max="15615" width="8" style="293" customWidth="1"/>
    <col min="15616" max="15616" width="11.25" style="293" customWidth="1"/>
    <col min="15617" max="15617" width="13.5" style="293" customWidth="1"/>
    <col min="15618" max="15618" width="14.625" style="293" customWidth="1"/>
    <col min="15619" max="15863" width="9" style="293"/>
    <col min="15864" max="15864" width="4" style="293" customWidth="1"/>
    <col min="15865" max="15865" width="7.125" style="293" customWidth="1"/>
    <col min="15866" max="15866" width="6.625" style="293" customWidth="1"/>
    <col min="15867" max="15867" width="8" style="293" customWidth="1"/>
    <col min="15868" max="15868" width="18.875" style="293" customWidth="1"/>
    <col min="15869" max="15869" width="12.5" style="293" customWidth="1"/>
    <col min="15870" max="15870" width="9.75" style="293" customWidth="1"/>
    <col min="15871" max="15871" width="8" style="293" customWidth="1"/>
    <col min="15872" max="15872" width="11.25" style="293" customWidth="1"/>
    <col min="15873" max="15873" width="13.5" style="293" customWidth="1"/>
    <col min="15874" max="15874" width="14.625" style="293" customWidth="1"/>
    <col min="15875" max="16119" width="9" style="293"/>
    <col min="16120" max="16120" width="4" style="293" customWidth="1"/>
    <col min="16121" max="16121" width="7.125" style="293" customWidth="1"/>
    <col min="16122" max="16122" width="6.625" style="293" customWidth="1"/>
    <col min="16123" max="16123" width="8" style="293" customWidth="1"/>
    <col min="16124" max="16124" width="18.875" style="293" customWidth="1"/>
    <col min="16125" max="16125" width="12.5" style="293" customWidth="1"/>
    <col min="16126" max="16126" width="9.75" style="293" customWidth="1"/>
    <col min="16127" max="16127" width="8" style="293" customWidth="1"/>
    <col min="16128" max="16128" width="11.25" style="293" customWidth="1"/>
    <col min="16129" max="16129" width="13.5" style="293" customWidth="1"/>
    <col min="16130" max="16130" width="14.625" style="293" customWidth="1"/>
    <col min="16131" max="16361" width="9" style="293"/>
    <col min="16362" max="16384" width="9" style="155"/>
  </cols>
  <sheetData>
    <row r="1" spans="1:11" ht="30" customHeight="1">
      <c r="A1" s="376" t="s">
        <v>941</v>
      </c>
      <c r="B1" s="376"/>
      <c r="C1" s="376"/>
      <c r="D1" s="376"/>
      <c r="E1" s="376"/>
      <c r="F1" s="376"/>
      <c r="G1" s="377"/>
      <c r="H1" s="377"/>
      <c r="I1" s="377"/>
      <c r="J1" s="377"/>
      <c r="K1" s="378"/>
    </row>
    <row r="2" spans="1:11" ht="30" customHeight="1">
      <c r="A2" s="289" t="s">
        <v>1</v>
      </c>
      <c r="B2" s="289" t="s">
        <v>932</v>
      </c>
      <c r="C2" s="289" t="s">
        <v>938</v>
      </c>
      <c r="D2" s="289" t="s">
        <v>933</v>
      </c>
      <c r="E2" s="289" t="s">
        <v>926</v>
      </c>
      <c r="F2" s="289" t="s">
        <v>939</v>
      </c>
      <c r="G2" s="289" t="s">
        <v>533</v>
      </c>
      <c r="H2" s="290" t="s">
        <v>922</v>
      </c>
      <c r="I2" s="290" t="s">
        <v>934</v>
      </c>
      <c r="J2" s="309" t="s">
        <v>935</v>
      </c>
      <c r="K2" s="326" t="s">
        <v>984</v>
      </c>
    </row>
    <row r="3" spans="1:11" ht="18" customHeight="1">
      <c r="A3" s="380">
        <v>1</v>
      </c>
      <c r="B3" s="380" t="s">
        <v>267</v>
      </c>
      <c r="C3" s="380" t="s">
        <v>942</v>
      </c>
      <c r="D3" s="381" t="s">
        <v>940</v>
      </c>
      <c r="E3" s="382" t="s">
        <v>943</v>
      </c>
      <c r="F3" s="375" t="s">
        <v>944</v>
      </c>
      <c r="G3" s="292" t="s">
        <v>924</v>
      </c>
      <c r="H3" s="294">
        <f>2000*0.6</f>
        <v>1200</v>
      </c>
      <c r="I3" s="295">
        <f>210+30</f>
        <v>240</v>
      </c>
      <c r="J3" s="310">
        <f t="shared" ref="J3:J6" si="0">H3*I3</f>
        <v>288000</v>
      </c>
      <c r="K3" s="371">
        <f>ROUND(J9*0.8,0)</f>
        <v>506099</v>
      </c>
    </row>
    <row r="4" spans="1:11" s="297" customFormat="1" ht="18" customHeight="1">
      <c r="A4" s="380"/>
      <c r="B4" s="380"/>
      <c r="C4" s="380"/>
      <c r="D4" s="381"/>
      <c r="E4" s="382"/>
      <c r="F4" s="375"/>
      <c r="G4" s="296" t="s">
        <v>924</v>
      </c>
      <c r="H4" s="294">
        <f>2000*0.4</f>
        <v>800</v>
      </c>
      <c r="I4" s="294">
        <v>300</v>
      </c>
      <c r="J4" s="311">
        <f t="shared" si="0"/>
        <v>240000</v>
      </c>
      <c r="K4" s="372"/>
    </row>
    <row r="5" spans="1:11" ht="18" customHeight="1">
      <c r="A5" s="380"/>
      <c r="B5" s="380"/>
      <c r="C5" s="380"/>
      <c r="D5" s="381"/>
      <c r="E5" s="382"/>
      <c r="F5" s="298" t="s">
        <v>945</v>
      </c>
      <c r="G5" s="292" t="s">
        <v>924</v>
      </c>
      <c r="H5" s="295">
        <v>0</v>
      </c>
      <c r="I5" s="295">
        <v>0</v>
      </c>
      <c r="J5" s="310">
        <f t="shared" si="0"/>
        <v>0</v>
      </c>
      <c r="K5" s="372"/>
    </row>
    <row r="6" spans="1:11" ht="18" customHeight="1">
      <c r="A6" s="380"/>
      <c r="B6" s="380"/>
      <c r="C6" s="380"/>
      <c r="D6" s="381"/>
      <c r="E6" s="292" t="s">
        <v>946</v>
      </c>
      <c r="F6" s="298" t="s">
        <v>947</v>
      </c>
      <c r="G6" s="292" t="s">
        <v>924</v>
      </c>
      <c r="H6" s="299">
        <v>6.4</v>
      </c>
      <c r="I6" s="295">
        <v>3100</v>
      </c>
      <c r="J6" s="310">
        <f t="shared" si="0"/>
        <v>19840</v>
      </c>
      <c r="K6" s="372"/>
    </row>
    <row r="7" spans="1:11" s="302" customFormat="1" ht="18" customHeight="1">
      <c r="A7" s="380"/>
      <c r="B7" s="380"/>
      <c r="C7" s="380"/>
      <c r="D7" s="381"/>
      <c r="E7" s="379" t="s">
        <v>927</v>
      </c>
      <c r="F7" s="379"/>
      <c r="G7" s="300"/>
      <c r="H7" s="301"/>
      <c r="I7" s="301"/>
      <c r="J7" s="312">
        <f>SUM(J3:J6)</f>
        <v>547840</v>
      </c>
      <c r="K7" s="372"/>
    </row>
    <row r="8" spans="1:11" s="302" customFormat="1" ht="18" customHeight="1">
      <c r="A8" s="380"/>
      <c r="B8" s="380"/>
      <c r="C8" s="380"/>
      <c r="D8" s="381"/>
      <c r="E8" s="379" t="s">
        <v>936</v>
      </c>
      <c r="F8" s="379"/>
      <c r="G8" s="300"/>
      <c r="H8" s="287">
        <f>ROUND(J7*10%,0)</f>
        <v>54784</v>
      </c>
      <c r="I8" s="288">
        <v>0.1</v>
      </c>
      <c r="J8" s="313">
        <f>ROUND(J7*10%,0)+1*30000</f>
        <v>84784</v>
      </c>
      <c r="K8" s="372"/>
    </row>
    <row r="9" spans="1:11" s="302" customFormat="1" ht="18" customHeight="1">
      <c r="A9" s="380"/>
      <c r="B9" s="380"/>
      <c r="C9" s="380"/>
      <c r="D9" s="381"/>
      <c r="E9" s="379" t="s">
        <v>928</v>
      </c>
      <c r="F9" s="379"/>
      <c r="G9" s="300"/>
      <c r="H9" s="301"/>
      <c r="I9" s="301"/>
      <c r="J9" s="309">
        <f>J7+J8</f>
        <v>632624</v>
      </c>
      <c r="K9" s="372"/>
    </row>
    <row r="10" spans="1:11" ht="18" customHeight="1">
      <c r="A10" s="380">
        <v>2</v>
      </c>
      <c r="B10" s="380" t="s">
        <v>376</v>
      </c>
      <c r="C10" s="380" t="s">
        <v>948</v>
      </c>
      <c r="D10" s="381" t="s">
        <v>923</v>
      </c>
      <c r="E10" s="380" t="s">
        <v>949</v>
      </c>
      <c r="F10" s="374" t="s">
        <v>950</v>
      </c>
      <c r="G10" s="296" t="s">
        <v>924</v>
      </c>
      <c r="H10" s="303">
        <f>2427*0.25</f>
        <v>606.75</v>
      </c>
      <c r="I10" s="295">
        <v>240</v>
      </c>
      <c r="J10" s="310">
        <f t="shared" ref="J10:J23" si="1">H10*I10</f>
        <v>145620</v>
      </c>
      <c r="K10" s="371">
        <f>ROUND(J26*0.8,0)</f>
        <v>1564939</v>
      </c>
    </row>
    <row r="11" spans="1:11" ht="18" customHeight="1">
      <c r="A11" s="380"/>
      <c r="B11" s="380"/>
      <c r="C11" s="380"/>
      <c r="D11" s="381"/>
      <c r="E11" s="380"/>
      <c r="F11" s="374"/>
      <c r="G11" s="292" t="s">
        <v>924</v>
      </c>
      <c r="H11" s="303">
        <f>2427*0.75</f>
        <v>1820.25</v>
      </c>
      <c r="I11" s="295">
        <v>300</v>
      </c>
      <c r="J11" s="310">
        <f t="shared" si="1"/>
        <v>546075</v>
      </c>
      <c r="K11" s="372"/>
    </row>
    <row r="12" spans="1:11" ht="18" customHeight="1">
      <c r="A12" s="380"/>
      <c r="B12" s="380"/>
      <c r="C12" s="380"/>
      <c r="D12" s="381"/>
      <c r="E12" s="380"/>
      <c r="F12" s="304" t="s">
        <v>951</v>
      </c>
      <c r="G12" s="305" t="s">
        <v>925</v>
      </c>
      <c r="H12" s="303">
        <v>250</v>
      </c>
      <c r="I12" s="303">
        <v>100</v>
      </c>
      <c r="J12" s="314">
        <f t="shared" si="1"/>
        <v>25000</v>
      </c>
      <c r="K12" s="372"/>
    </row>
    <row r="13" spans="1:11" ht="18" customHeight="1">
      <c r="A13" s="380"/>
      <c r="B13" s="380"/>
      <c r="C13" s="380"/>
      <c r="D13" s="381"/>
      <c r="E13" s="380" t="s">
        <v>952</v>
      </c>
      <c r="F13" s="374" t="s">
        <v>953</v>
      </c>
      <c r="G13" s="296" t="s">
        <v>924</v>
      </c>
      <c r="H13" s="303">
        <f>714*0.3</f>
        <v>214.2</v>
      </c>
      <c r="I13" s="303">
        <v>240</v>
      </c>
      <c r="J13" s="314">
        <f t="shared" si="1"/>
        <v>51408</v>
      </c>
      <c r="K13" s="372"/>
    </row>
    <row r="14" spans="1:11" ht="18" customHeight="1">
      <c r="A14" s="380"/>
      <c r="B14" s="380"/>
      <c r="C14" s="380"/>
      <c r="D14" s="381"/>
      <c r="E14" s="380"/>
      <c r="F14" s="374"/>
      <c r="G14" s="296" t="s">
        <v>924</v>
      </c>
      <c r="H14" s="303">
        <f>714*0.7</f>
        <v>499.79999999999995</v>
      </c>
      <c r="I14" s="294">
        <v>370</v>
      </c>
      <c r="J14" s="311">
        <f t="shared" si="1"/>
        <v>184925.99999999997</v>
      </c>
      <c r="K14" s="372"/>
    </row>
    <row r="15" spans="1:11" ht="18" customHeight="1">
      <c r="A15" s="380"/>
      <c r="B15" s="380"/>
      <c r="C15" s="380"/>
      <c r="D15" s="381"/>
      <c r="E15" s="380"/>
      <c r="F15" s="304" t="s">
        <v>954</v>
      </c>
      <c r="G15" s="305" t="s">
        <v>925</v>
      </c>
      <c r="H15" s="303">
        <v>64</v>
      </c>
      <c r="I15" s="303">
        <v>500</v>
      </c>
      <c r="J15" s="314">
        <f t="shared" si="1"/>
        <v>32000</v>
      </c>
      <c r="K15" s="372"/>
    </row>
    <row r="16" spans="1:11" ht="18" customHeight="1">
      <c r="A16" s="380"/>
      <c r="B16" s="380"/>
      <c r="C16" s="380"/>
      <c r="D16" s="381"/>
      <c r="E16" s="380"/>
      <c r="F16" s="304" t="s">
        <v>955</v>
      </c>
      <c r="G16" s="296" t="s">
        <v>924</v>
      </c>
      <c r="H16" s="303">
        <f>116*5.5</f>
        <v>638</v>
      </c>
      <c r="I16" s="303">
        <v>140</v>
      </c>
      <c r="J16" s="314">
        <f t="shared" si="1"/>
        <v>89320</v>
      </c>
      <c r="K16" s="372"/>
    </row>
    <row r="17" spans="1:11" ht="18" customHeight="1">
      <c r="A17" s="380"/>
      <c r="B17" s="380"/>
      <c r="C17" s="380"/>
      <c r="D17" s="381"/>
      <c r="E17" s="380"/>
      <c r="F17" s="304" t="s">
        <v>956</v>
      </c>
      <c r="G17" s="296" t="s">
        <v>924</v>
      </c>
      <c r="H17" s="303">
        <v>74</v>
      </c>
      <c r="I17" s="303">
        <v>50</v>
      </c>
      <c r="J17" s="314">
        <f t="shared" si="1"/>
        <v>3700</v>
      </c>
      <c r="K17" s="372"/>
    </row>
    <row r="18" spans="1:11" ht="18" customHeight="1">
      <c r="A18" s="380"/>
      <c r="B18" s="380"/>
      <c r="C18" s="380"/>
      <c r="D18" s="381"/>
      <c r="E18" s="380" t="s">
        <v>957</v>
      </c>
      <c r="F18" s="374" t="s">
        <v>958</v>
      </c>
      <c r="G18" s="296" t="s">
        <v>924</v>
      </c>
      <c r="H18" s="303">
        <f>1473*0.1</f>
        <v>147.30000000000001</v>
      </c>
      <c r="I18" s="303">
        <v>240</v>
      </c>
      <c r="J18" s="314">
        <f t="shared" si="1"/>
        <v>35352</v>
      </c>
      <c r="K18" s="372"/>
    </row>
    <row r="19" spans="1:11" ht="18" customHeight="1">
      <c r="A19" s="380"/>
      <c r="B19" s="380"/>
      <c r="C19" s="380"/>
      <c r="D19" s="381"/>
      <c r="E19" s="380"/>
      <c r="F19" s="374"/>
      <c r="G19" s="296" t="s">
        <v>924</v>
      </c>
      <c r="H19" s="303">
        <f>1473*0.9</f>
        <v>1325.7</v>
      </c>
      <c r="I19" s="294">
        <v>370</v>
      </c>
      <c r="J19" s="314">
        <f t="shared" si="1"/>
        <v>490509</v>
      </c>
      <c r="K19" s="372"/>
    </row>
    <row r="20" spans="1:11" ht="18" customHeight="1">
      <c r="A20" s="380"/>
      <c r="B20" s="380"/>
      <c r="C20" s="380"/>
      <c r="D20" s="381"/>
      <c r="E20" s="380"/>
      <c r="F20" s="304" t="s">
        <v>959</v>
      </c>
      <c r="G20" s="305" t="s">
        <v>925</v>
      </c>
      <c r="H20" s="303">
        <v>124</v>
      </c>
      <c r="I20" s="303">
        <v>136</v>
      </c>
      <c r="J20" s="314">
        <f t="shared" si="1"/>
        <v>16864</v>
      </c>
      <c r="K20" s="372"/>
    </row>
    <row r="21" spans="1:11" ht="18" customHeight="1">
      <c r="A21" s="380"/>
      <c r="B21" s="380"/>
      <c r="C21" s="380"/>
      <c r="D21" s="381"/>
      <c r="E21" s="380"/>
      <c r="F21" s="304" t="s">
        <v>960</v>
      </c>
      <c r="G21" s="305" t="s">
        <v>925</v>
      </c>
      <c r="H21" s="303">
        <v>101</v>
      </c>
      <c r="I21" s="303">
        <v>74</v>
      </c>
      <c r="J21" s="314">
        <f t="shared" si="1"/>
        <v>7474</v>
      </c>
      <c r="K21" s="372"/>
    </row>
    <row r="22" spans="1:11" ht="18" customHeight="1">
      <c r="A22" s="380"/>
      <c r="B22" s="380"/>
      <c r="C22" s="380"/>
      <c r="D22" s="381"/>
      <c r="E22" s="380"/>
      <c r="F22" s="304" t="s">
        <v>961</v>
      </c>
      <c r="G22" s="305" t="s">
        <v>929</v>
      </c>
      <c r="H22" s="303">
        <v>8</v>
      </c>
      <c r="I22" s="303">
        <v>82</v>
      </c>
      <c r="J22" s="314">
        <f t="shared" si="1"/>
        <v>656</v>
      </c>
      <c r="K22" s="372"/>
    </row>
    <row r="23" spans="1:11" ht="18" customHeight="1">
      <c r="A23" s="380"/>
      <c r="B23" s="380"/>
      <c r="C23" s="380"/>
      <c r="D23" s="381"/>
      <c r="E23" s="380"/>
      <c r="F23" s="304" t="s">
        <v>962</v>
      </c>
      <c r="G23" s="296" t="s">
        <v>924</v>
      </c>
      <c r="H23" s="303">
        <v>429</v>
      </c>
      <c r="I23" s="303">
        <v>200</v>
      </c>
      <c r="J23" s="314">
        <f t="shared" si="1"/>
        <v>85800</v>
      </c>
      <c r="K23" s="372"/>
    </row>
    <row r="24" spans="1:11" s="302" customFormat="1" ht="18" customHeight="1">
      <c r="A24" s="380"/>
      <c r="B24" s="380"/>
      <c r="C24" s="380"/>
      <c r="D24" s="381"/>
      <c r="E24" s="379" t="s">
        <v>927</v>
      </c>
      <c r="F24" s="379"/>
      <c r="G24" s="300"/>
      <c r="H24" s="301"/>
      <c r="I24" s="301"/>
      <c r="J24" s="309">
        <f>SUM(J10:J23)</f>
        <v>1714704</v>
      </c>
      <c r="K24" s="372"/>
    </row>
    <row r="25" spans="1:11" s="302" customFormat="1" ht="18" customHeight="1">
      <c r="A25" s="380"/>
      <c r="B25" s="380"/>
      <c r="C25" s="380"/>
      <c r="D25" s="381"/>
      <c r="E25" s="379" t="s">
        <v>936</v>
      </c>
      <c r="F25" s="379"/>
      <c r="G25" s="300"/>
      <c r="H25" s="287">
        <f>ROUND(J24*10%,0)</f>
        <v>171470</v>
      </c>
      <c r="I25" s="288">
        <v>0.1</v>
      </c>
      <c r="J25" s="313">
        <f>ROUND(J24*10%,0)+70000</f>
        <v>241470</v>
      </c>
      <c r="K25" s="372"/>
    </row>
    <row r="26" spans="1:11" s="302" customFormat="1" ht="18" customHeight="1">
      <c r="A26" s="380"/>
      <c r="B26" s="380"/>
      <c r="C26" s="380"/>
      <c r="D26" s="381"/>
      <c r="E26" s="379" t="s">
        <v>928</v>
      </c>
      <c r="F26" s="379"/>
      <c r="G26" s="300"/>
      <c r="H26" s="301"/>
      <c r="I26" s="301"/>
      <c r="J26" s="309">
        <f>J24+J25</f>
        <v>1956174</v>
      </c>
      <c r="K26" s="372"/>
    </row>
    <row r="27" spans="1:11" ht="18" customHeight="1">
      <c r="A27" s="380">
        <v>3</v>
      </c>
      <c r="B27" s="380" t="s">
        <v>963</v>
      </c>
      <c r="C27" s="380" t="s">
        <v>964</v>
      </c>
      <c r="D27" s="381" t="s">
        <v>923</v>
      </c>
      <c r="E27" s="380" t="s">
        <v>937</v>
      </c>
      <c r="F27" s="374" t="s">
        <v>944</v>
      </c>
      <c r="G27" s="292" t="s">
        <v>924</v>
      </c>
      <c r="H27" s="303">
        <f>2182*0.3</f>
        <v>654.6</v>
      </c>
      <c r="I27" s="295">
        <v>240</v>
      </c>
      <c r="J27" s="310">
        <f t="shared" ref="J27:J37" si="2">H27*I27</f>
        <v>157104</v>
      </c>
      <c r="K27" s="371">
        <f>ROUND(J31*0.8,0)</f>
        <v>565485</v>
      </c>
    </row>
    <row r="28" spans="1:11" ht="18" customHeight="1">
      <c r="A28" s="380"/>
      <c r="B28" s="380"/>
      <c r="C28" s="380"/>
      <c r="D28" s="381"/>
      <c r="E28" s="380"/>
      <c r="F28" s="374"/>
      <c r="G28" s="292" t="s">
        <v>924</v>
      </c>
      <c r="H28" s="303">
        <f>2182*0.7</f>
        <v>1527.3999999999999</v>
      </c>
      <c r="I28" s="295">
        <v>300</v>
      </c>
      <c r="J28" s="310">
        <f t="shared" si="2"/>
        <v>458219.99999999994</v>
      </c>
      <c r="K28" s="372"/>
    </row>
    <row r="29" spans="1:11" s="302" customFormat="1" ht="18" customHeight="1">
      <c r="A29" s="380"/>
      <c r="B29" s="380"/>
      <c r="C29" s="380"/>
      <c r="D29" s="381"/>
      <c r="E29" s="379" t="s">
        <v>927</v>
      </c>
      <c r="F29" s="379"/>
      <c r="G29" s="300"/>
      <c r="H29" s="301"/>
      <c r="I29" s="301"/>
      <c r="J29" s="309">
        <f>SUM(J27:J28)</f>
        <v>615324</v>
      </c>
      <c r="K29" s="372"/>
    </row>
    <row r="30" spans="1:11" s="302" customFormat="1" ht="18" customHeight="1">
      <c r="A30" s="380"/>
      <c r="B30" s="380"/>
      <c r="C30" s="380"/>
      <c r="D30" s="381"/>
      <c r="E30" s="379" t="s">
        <v>936</v>
      </c>
      <c r="F30" s="379"/>
      <c r="G30" s="300"/>
      <c r="H30" s="287">
        <f>ROUND(J29*10%,0)</f>
        <v>61532</v>
      </c>
      <c r="I30" s="288">
        <v>0.1</v>
      </c>
      <c r="J30" s="313">
        <f>ROUND(J29*10%,0)+1*30000</f>
        <v>91532</v>
      </c>
      <c r="K30" s="372"/>
    </row>
    <row r="31" spans="1:11" s="302" customFormat="1" ht="18" customHeight="1">
      <c r="A31" s="380"/>
      <c r="B31" s="380"/>
      <c r="C31" s="380"/>
      <c r="D31" s="381"/>
      <c r="E31" s="379" t="s">
        <v>928</v>
      </c>
      <c r="F31" s="379"/>
      <c r="G31" s="300"/>
      <c r="H31" s="301"/>
      <c r="I31" s="301"/>
      <c r="J31" s="309">
        <f>J29+J30</f>
        <v>706856</v>
      </c>
      <c r="K31" s="372"/>
    </row>
    <row r="32" spans="1:11" ht="18" customHeight="1">
      <c r="A32" s="380">
        <v>4</v>
      </c>
      <c r="B32" s="380" t="s">
        <v>965</v>
      </c>
      <c r="C32" s="380" t="s">
        <v>966</v>
      </c>
      <c r="D32" s="381" t="s">
        <v>923</v>
      </c>
      <c r="E32" s="380" t="s">
        <v>967</v>
      </c>
      <c r="F32" s="304" t="s">
        <v>968</v>
      </c>
      <c r="G32" s="292" t="s">
        <v>925</v>
      </c>
      <c r="H32" s="303">
        <v>180</v>
      </c>
      <c r="I32" s="295">
        <v>780</v>
      </c>
      <c r="J32" s="314">
        <f t="shared" si="2"/>
        <v>140400</v>
      </c>
      <c r="K32" s="371">
        <f>ROUND(J40*0.8,0)</f>
        <v>330806</v>
      </c>
    </row>
    <row r="33" spans="1:11" ht="18" customHeight="1">
      <c r="A33" s="380"/>
      <c r="B33" s="380"/>
      <c r="C33" s="380"/>
      <c r="D33" s="381"/>
      <c r="E33" s="380"/>
      <c r="F33" s="304" t="s">
        <v>969</v>
      </c>
      <c r="G33" s="292" t="s">
        <v>925</v>
      </c>
      <c r="H33" s="303">
        <v>150</v>
      </c>
      <c r="I33" s="295">
        <v>860</v>
      </c>
      <c r="J33" s="314">
        <f t="shared" si="2"/>
        <v>129000</v>
      </c>
      <c r="K33" s="371"/>
    </row>
    <row r="34" spans="1:11" ht="18" customHeight="1">
      <c r="A34" s="380"/>
      <c r="B34" s="380"/>
      <c r="C34" s="380"/>
      <c r="D34" s="381"/>
      <c r="E34" s="380"/>
      <c r="F34" s="304" t="s">
        <v>970</v>
      </c>
      <c r="G34" s="292" t="s">
        <v>930</v>
      </c>
      <c r="H34" s="303">
        <v>23</v>
      </c>
      <c r="I34" s="295">
        <v>3500</v>
      </c>
      <c r="J34" s="314">
        <f t="shared" si="2"/>
        <v>80500</v>
      </c>
      <c r="K34" s="371"/>
    </row>
    <row r="35" spans="1:11" ht="18" customHeight="1">
      <c r="A35" s="380"/>
      <c r="B35" s="380"/>
      <c r="C35" s="380"/>
      <c r="D35" s="381"/>
      <c r="E35" s="380"/>
      <c r="F35" s="304" t="s">
        <v>971</v>
      </c>
      <c r="G35" s="292" t="s">
        <v>930</v>
      </c>
      <c r="H35" s="303">
        <v>1</v>
      </c>
      <c r="I35" s="295">
        <v>18293</v>
      </c>
      <c r="J35" s="314">
        <f t="shared" si="2"/>
        <v>18293</v>
      </c>
      <c r="K35" s="371"/>
    </row>
    <row r="36" spans="1:11" ht="18" customHeight="1">
      <c r="A36" s="380"/>
      <c r="B36" s="380"/>
      <c r="C36" s="380"/>
      <c r="D36" s="381"/>
      <c r="E36" s="380"/>
      <c r="F36" s="304" t="s">
        <v>972</v>
      </c>
      <c r="G36" s="292" t="s">
        <v>930</v>
      </c>
      <c r="H36" s="303">
        <v>1</v>
      </c>
      <c r="I36" s="295">
        <v>4500</v>
      </c>
      <c r="J36" s="314">
        <f t="shared" si="2"/>
        <v>4500</v>
      </c>
      <c r="K36" s="371"/>
    </row>
    <row r="37" spans="1:11" ht="18" customHeight="1">
      <c r="A37" s="380"/>
      <c r="B37" s="380"/>
      <c r="C37" s="380"/>
      <c r="D37" s="381"/>
      <c r="E37" s="380"/>
      <c r="F37" s="304" t="s">
        <v>973</v>
      </c>
      <c r="G37" s="292" t="s">
        <v>925</v>
      </c>
      <c r="H37" s="303">
        <v>5.86</v>
      </c>
      <c r="I37" s="295">
        <v>550</v>
      </c>
      <c r="J37" s="314">
        <f t="shared" si="2"/>
        <v>3223</v>
      </c>
      <c r="K37" s="371"/>
    </row>
    <row r="38" spans="1:11" ht="18" customHeight="1">
      <c r="A38" s="380"/>
      <c r="B38" s="380"/>
      <c r="C38" s="380"/>
      <c r="D38" s="381"/>
      <c r="E38" s="379" t="s">
        <v>927</v>
      </c>
      <c r="F38" s="379"/>
      <c r="G38" s="305"/>
      <c r="H38" s="303"/>
      <c r="I38" s="303"/>
      <c r="J38" s="312">
        <f>SUM(J32:J37)</f>
        <v>375916</v>
      </c>
      <c r="K38" s="371"/>
    </row>
    <row r="39" spans="1:11" ht="18" customHeight="1">
      <c r="A39" s="380"/>
      <c r="B39" s="380"/>
      <c r="C39" s="380"/>
      <c r="D39" s="381"/>
      <c r="E39" s="379" t="s">
        <v>936</v>
      </c>
      <c r="F39" s="379"/>
      <c r="G39" s="305"/>
      <c r="H39" s="287">
        <f>ROUND(J38*10%,0)</f>
        <v>37592</v>
      </c>
      <c r="I39" s="288">
        <v>0.1</v>
      </c>
      <c r="J39" s="313">
        <f>ROUND(J38*10%,0)</f>
        <v>37592</v>
      </c>
      <c r="K39" s="371"/>
    </row>
    <row r="40" spans="1:11" ht="18" customHeight="1">
      <c r="A40" s="380"/>
      <c r="B40" s="380"/>
      <c r="C40" s="380"/>
      <c r="D40" s="381"/>
      <c r="E40" s="379" t="s">
        <v>928</v>
      </c>
      <c r="F40" s="379"/>
      <c r="G40" s="305"/>
      <c r="H40" s="303"/>
      <c r="I40" s="303"/>
      <c r="J40" s="312">
        <f>J38+J39</f>
        <v>413508</v>
      </c>
      <c r="K40" s="371"/>
    </row>
    <row r="41" spans="1:11" ht="18" customHeight="1">
      <c r="A41" s="315"/>
      <c r="B41" s="315"/>
      <c r="C41" s="315"/>
      <c r="D41" s="315"/>
      <c r="E41" s="371" t="s">
        <v>931</v>
      </c>
      <c r="F41" s="373"/>
      <c r="G41" s="291"/>
      <c r="H41" s="291"/>
      <c r="I41" s="291"/>
      <c r="J41" s="291"/>
      <c r="K41" s="289">
        <f>SUM(K3:K40)</f>
        <v>2967329</v>
      </c>
    </row>
  </sheetData>
  <mergeCells count="45">
    <mergeCell ref="A3:A9"/>
    <mergeCell ref="B3:B9"/>
    <mergeCell ref="C3:C9"/>
    <mergeCell ref="D3:D9"/>
    <mergeCell ref="E3:E5"/>
    <mergeCell ref="E7:F7"/>
    <mergeCell ref="E8:F8"/>
    <mergeCell ref="E9:F9"/>
    <mergeCell ref="A10:A26"/>
    <mergeCell ref="B10:B26"/>
    <mergeCell ref="C10:C26"/>
    <mergeCell ref="D10:D26"/>
    <mergeCell ref="E10:E12"/>
    <mergeCell ref="E13:E17"/>
    <mergeCell ref="E18:E23"/>
    <mergeCell ref="C27:C31"/>
    <mergeCell ref="D27:D31"/>
    <mergeCell ref="E27:E28"/>
    <mergeCell ref="F27:F28"/>
    <mergeCell ref="E29:F29"/>
    <mergeCell ref="A1:K1"/>
    <mergeCell ref="E30:F30"/>
    <mergeCell ref="E31:F31"/>
    <mergeCell ref="A32:A40"/>
    <mergeCell ref="B32:B40"/>
    <mergeCell ref="C32:C40"/>
    <mergeCell ref="D32:D40"/>
    <mergeCell ref="E32:E37"/>
    <mergeCell ref="E38:F38"/>
    <mergeCell ref="E39:F39"/>
    <mergeCell ref="E40:F40"/>
    <mergeCell ref="E24:F24"/>
    <mergeCell ref="E25:F25"/>
    <mergeCell ref="E26:F26"/>
    <mergeCell ref="A27:A31"/>
    <mergeCell ref="B27:B31"/>
    <mergeCell ref="K3:K9"/>
    <mergeCell ref="K10:K26"/>
    <mergeCell ref="K27:K31"/>
    <mergeCell ref="K32:K40"/>
    <mergeCell ref="E41:F41"/>
    <mergeCell ref="F10:F11"/>
    <mergeCell ref="F13:F14"/>
    <mergeCell ref="F18:F19"/>
    <mergeCell ref="F3:F4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"/>
  <sheetViews>
    <sheetView workbookViewId="0">
      <selection activeCell="A5" sqref="A5:XFD5"/>
    </sheetView>
  </sheetViews>
  <sheetFormatPr defaultColWidth="9" defaultRowHeight="45" customHeight="1"/>
  <cols>
    <col min="1" max="1" width="5.5" style="316" customWidth="1"/>
    <col min="2" max="2" width="36.125" style="317" customWidth="1"/>
    <col min="3" max="3" width="44.875" style="316" customWidth="1"/>
    <col min="4" max="9" width="12.625" style="318" customWidth="1"/>
    <col min="10" max="10" width="12.625" style="319" customWidth="1"/>
    <col min="11" max="11" width="13.875" style="316" bestFit="1" customWidth="1"/>
    <col min="12" max="16384" width="9" style="316"/>
  </cols>
  <sheetData>
    <row r="1" spans="1:10" ht="45" customHeight="1">
      <c r="A1" s="383" t="s">
        <v>983</v>
      </c>
      <c r="B1" s="384"/>
      <c r="C1" s="384"/>
      <c r="D1" s="384"/>
      <c r="E1" s="384"/>
      <c r="F1" s="384"/>
      <c r="G1" s="384"/>
      <c r="H1" s="384"/>
      <c r="I1" s="384"/>
      <c r="J1" s="384"/>
    </row>
    <row r="2" spans="1:10" s="323" customFormat="1" ht="20.100000000000001" customHeight="1">
      <c r="A2" s="320" t="s">
        <v>1</v>
      </c>
      <c r="B2" s="171" t="s">
        <v>594</v>
      </c>
      <c r="C2" s="320" t="s">
        <v>2</v>
      </c>
      <c r="D2" s="321" t="s">
        <v>976</v>
      </c>
      <c r="E2" s="321" t="s">
        <v>977</v>
      </c>
      <c r="F2" s="321" t="s">
        <v>978</v>
      </c>
      <c r="G2" s="321" t="s">
        <v>979</v>
      </c>
      <c r="H2" s="321" t="s">
        <v>980</v>
      </c>
      <c r="I2" s="321" t="s">
        <v>981</v>
      </c>
      <c r="J2" s="322" t="s">
        <v>982</v>
      </c>
    </row>
    <row r="3" spans="1:10" s="323" customFormat="1" ht="20.100000000000001" customHeight="1">
      <c r="A3" s="320">
        <v>1</v>
      </c>
      <c r="B3" s="171" t="s">
        <v>273</v>
      </c>
      <c r="C3" s="171" t="s">
        <v>974</v>
      </c>
      <c r="D3" s="324">
        <v>317362.5</v>
      </c>
      <c r="E3" s="324">
        <v>247500</v>
      </c>
      <c r="F3" s="324">
        <v>247500</v>
      </c>
      <c r="G3" s="324">
        <v>46311</v>
      </c>
      <c r="H3" s="324">
        <f t="shared" ref="H3" si="0">F3+G3</f>
        <v>293811</v>
      </c>
      <c r="I3" s="324">
        <v>317362.5</v>
      </c>
      <c r="J3" s="324">
        <f t="shared" ref="J3" si="1">H3-I3</f>
        <v>-23551.5</v>
      </c>
    </row>
    <row r="4" spans="1:10" s="323" customFormat="1" ht="20.100000000000001" customHeight="1">
      <c r="A4" s="320"/>
      <c r="B4" s="171"/>
      <c r="C4" s="320" t="s">
        <v>975</v>
      </c>
      <c r="D4" s="325">
        <f>SUM(D3)</f>
        <v>317362.5</v>
      </c>
      <c r="E4" s="325">
        <f t="shared" ref="E4:J4" si="2">SUM(E3)</f>
        <v>247500</v>
      </c>
      <c r="F4" s="325">
        <f t="shared" si="2"/>
        <v>247500</v>
      </c>
      <c r="G4" s="325">
        <f t="shared" si="2"/>
        <v>46311</v>
      </c>
      <c r="H4" s="325">
        <f t="shared" si="2"/>
        <v>293811</v>
      </c>
      <c r="I4" s="325">
        <f t="shared" si="2"/>
        <v>317362.5</v>
      </c>
      <c r="J4" s="324">
        <f t="shared" si="2"/>
        <v>-23551.5</v>
      </c>
    </row>
  </sheetData>
  <mergeCells count="1">
    <mergeCell ref="A1:J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landscape" verticalDpi="0" r:id="rId1"/>
  <headerFooter>
    <oddFooter>第 &amp;P 页，共 &amp;N 页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5"/>
  <sheetViews>
    <sheetView workbookViewId="0">
      <selection activeCell="A16" sqref="A16:XFD119"/>
    </sheetView>
  </sheetViews>
  <sheetFormatPr defaultRowHeight="13.5"/>
  <cols>
    <col min="1" max="1" width="10.25" style="173" customWidth="1"/>
    <col min="2" max="2" width="24.125" style="173" customWidth="1"/>
    <col min="3" max="3" width="9.5" style="173" customWidth="1"/>
    <col min="4" max="4" width="18.875" style="176" customWidth="1"/>
    <col min="5" max="5" width="23.375" style="176" customWidth="1"/>
    <col min="6" max="6" width="28.5" style="176" customWidth="1"/>
    <col min="7" max="7" width="8.125" style="176" customWidth="1"/>
    <col min="8" max="8" width="11.375" style="176" customWidth="1"/>
    <col min="9" max="9" width="10.125" style="176" customWidth="1"/>
    <col min="10" max="16384" width="9" style="176"/>
  </cols>
  <sheetData>
    <row r="1" spans="1:9" s="173" customFormat="1" ht="22.5">
      <c r="A1" s="385" t="s">
        <v>692</v>
      </c>
      <c r="B1" s="386"/>
      <c r="C1" s="386"/>
      <c r="D1" s="386"/>
      <c r="E1" s="386"/>
      <c r="F1" s="386"/>
      <c r="G1" s="386"/>
      <c r="H1" s="386"/>
      <c r="I1" s="386"/>
    </row>
    <row r="2" spans="1:9">
      <c r="A2" s="174" t="s">
        <v>556</v>
      </c>
      <c r="B2" s="174" t="s">
        <v>594</v>
      </c>
      <c r="C2" s="174" t="s">
        <v>693</v>
      </c>
      <c r="D2" s="175" t="s">
        <v>2</v>
      </c>
      <c r="E2" s="175" t="s">
        <v>687</v>
      </c>
      <c r="F2" s="175" t="s">
        <v>688</v>
      </c>
      <c r="G2" s="174" t="s">
        <v>689</v>
      </c>
      <c r="H2" s="174" t="s">
        <v>690</v>
      </c>
      <c r="I2" s="174" t="s">
        <v>691</v>
      </c>
    </row>
    <row r="3" spans="1:9">
      <c r="A3" s="177" t="s">
        <v>555</v>
      </c>
      <c r="B3" s="178" t="s">
        <v>694</v>
      </c>
      <c r="C3" s="177" t="s">
        <v>695</v>
      </c>
      <c r="D3" s="179" t="s">
        <v>696</v>
      </c>
      <c r="E3" s="179" t="s">
        <v>697</v>
      </c>
      <c r="F3" s="179" t="s">
        <v>698</v>
      </c>
      <c r="G3" s="180">
        <v>1</v>
      </c>
      <c r="H3" s="181">
        <v>100000</v>
      </c>
      <c r="I3" s="181">
        <f t="shared" ref="I3:I14" si="0">G3*H3</f>
        <v>100000</v>
      </c>
    </row>
    <row r="4" spans="1:9">
      <c r="A4" s="177" t="s">
        <v>555</v>
      </c>
      <c r="B4" s="178" t="s">
        <v>699</v>
      </c>
      <c r="C4" s="177" t="s">
        <v>695</v>
      </c>
      <c r="D4" s="179" t="s">
        <v>696</v>
      </c>
      <c r="E4" s="179" t="s">
        <v>697</v>
      </c>
      <c r="F4" s="179" t="s">
        <v>700</v>
      </c>
      <c r="G4" s="180">
        <v>1</v>
      </c>
      <c r="H4" s="181">
        <v>100000</v>
      </c>
      <c r="I4" s="181">
        <f t="shared" si="0"/>
        <v>100000</v>
      </c>
    </row>
    <row r="5" spans="1:9">
      <c r="A5" s="180" t="s">
        <v>555</v>
      </c>
      <c r="B5" s="178" t="s">
        <v>272</v>
      </c>
      <c r="C5" s="180" t="s">
        <v>695</v>
      </c>
      <c r="D5" s="179" t="s">
        <v>696</v>
      </c>
      <c r="E5" s="179" t="s">
        <v>701</v>
      </c>
      <c r="F5" s="179" t="s">
        <v>702</v>
      </c>
      <c r="G5" s="180">
        <v>1</v>
      </c>
      <c r="H5" s="181">
        <v>100000</v>
      </c>
      <c r="I5" s="181">
        <f t="shared" si="0"/>
        <v>100000</v>
      </c>
    </row>
    <row r="6" spans="1:9">
      <c r="A6" s="177" t="s">
        <v>555</v>
      </c>
      <c r="B6" s="178" t="s">
        <v>274</v>
      </c>
      <c r="C6" s="180" t="s">
        <v>695</v>
      </c>
      <c r="D6" s="179" t="s">
        <v>696</v>
      </c>
      <c r="E6" s="179" t="s">
        <v>701</v>
      </c>
      <c r="F6" s="179" t="s">
        <v>702</v>
      </c>
      <c r="G6" s="180">
        <v>1</v>
      </c>
      <c r="H6" s="181">
        <v>100000</v>
      </c>
      <c r="I6" s="181">
        <f t="shared" si="0"/>
        <v>100000</v>
      </c>
    </row>
    <row r="7" spans="1:9">
      <c r="A7" s="180" t="s">
        <v>555</v>
      </c>
      <c r="B7" s="178" t="s">
        <v>703</v>
      </c>
      <c r="C7" s="180" t="s">
        <v>695</v>
      </c>
      <c r="D7" s="179" t="s">
        <v>704</v>
      </c>
      <c r="E7" s="179" t="s">
        <v>705</v>
      </c>
      <c r="F7" s="179" t="s">
        <v>706</v>
      </c>
      <c r="G7" s="180">
        <v>1</v>
      </c>
      <c r="H7" s="181">
        <v>40000</v>
      </c>
      <c r="I7" s="181">
        <f t="shared" si="0"/>
        <v>40000</v>
      </c>
    </row>
    <row r="8" spans="1:9">
      <c r="A8" s="180" t="s">
        <v>555</v>
      </c>
      <c r="B8" s="178" t="s">
        <v>707</v>
      </c>
      <c r="C8" s="177" t="s">
        <v>708</v>
      </c>
      <c r="D8" s="179" t="s">
        <v>704</v>
      </c>
      <c r="E8" s="179" t="s">
        <v>705</v>
      </c>
      <c r="F8" s="179" t="s">
        <v>706</v>
      </c>
      <c r="G8" s="180">
        <v>1</v>
      </c>
      <c r="H8" s="181">
        <v>40000</v>
      </c>
      <c r="I8" s="181">
        <f t="shared" si="0"/>
        <v>40000</v>
      </c>
    </row>
    <row r="9" spans="1:9">
      <c r="A9" s="180" t="s">
        <v>555</v>
      </c>
      <c r="B9" s="182" t="s">
        <v>709</v>
      </c>
      <c r="C9" s="177" t="s">
        <v>708</v>
      </c>
      <c r="D9" s="179" t="s">
        <v>710</v>
      </c>
      <c r="E9" s="179" t="s">
        <v>710</v>
      </c>
      <c r="F9" s="179" t="s">
        <v>710</v>
      </c>
      <c r="G9" s="180">
        <v>1</v>
      </c>
      <c r="H9" s="181">
        <v>83899.6</v>
      </c>
      <c r="I9" s="181">
        <f>G9*H9</f>
        <v>83899.6</v>
      </c>
    </row>
    <row r="10" spans="1:9">
      <c r="A10" s="180" t="s">
        <v>555</v>
      </c>
      <c r="B10" s="183" t="s">
        <v>711</v>
      </c>
      <c r="C10" s="177" t="s">
        <v>708</v>
      </c>
      <c r="D10" s="179" t="s">
        <v>710</v>
      </c>
      <c r="E10" s="179" t="s">
        <v>710</v>
      </c>
      <c r="F10" s="179" t="s">
        <v>710</v>
      </c>
      <c r="G10" s="180">
        <v>1</v>
      </c>
      <c r="H10" s="181">
        <v>107542</v>
      </c>
      <c r="I10" s="181">
        <f t="shared" ref="I10:I13" si="1">G10*H10</f>
        <v>107542</v>
      </c>
    </row>
    <row r="11" spans="1:9">
      <c r="A11" s="180" t="s">
        <v>555</v>
      </c>
      <c r="B11" s="182" t="s">
        <v>712</v>
      </c>
      <c r="C11" s="177" t="s">
        <v>708</v>
      </c>
      <c r="D11" s="179" t="s">
        <v>710</v>
      </c>
      <c r="E11" s="179" t="s">
        <v>710</v>
      </c>
      <c r="F11" s="179" t="s">
        <v>710</v>
      </c>
      <c r="G11" s="180">
        <v>1</v>
      </c>
      <c r="H11" s="181">
        <v>49689.599999999999</v>
      </c>
      <c r="I11" s="181">
        <f t="shared" si="1"/>
        <v>49689.599999999999</v>
      </c>
    </row>
    <row r="12" spans="1:9">
      <c r="A12" s="180" t="s">
        <v>555</v>
      </c>
      <c r="B12" s="182" t="s">
        <v>713</v>
      </c>
      <c r="C12" s="177" t="s">
        <v>708</v>
      </c>
      <c r="D12" s="179" t="s">
        <v>710</v>
      </c>
      <c r="E12" s="179" t="s">
        <v>710</v>
      </c>
      <c r="F12" s="179" t="s">
        <v>710</v>
      </c>
      <c r="G12" s="180">
        <v>1</v>
      </c>
      <c r="H12" s="181">
        <v>47008.4</v>
      </c>
      <c r="I12" s="181">
        <f t="shared" si="1"/>
        <v>47008.4</v>
      </c>
    </row>
    <row r="13" spans="1:9">
      <c r="A13" s="180" t="s">
        <v>555</v>
      </c>
      <c r="B13" s="182" t="s">
        <v>714</v>
      </c>
      <c r="C13" s="177" t="s">
        <v>708</v>
      </c>
      <c r="D13" s="179" t="s">
        <v>710</v>
      </c>
      <c r="E13" s="179" t="s">
        <v>710</v>
      </c>
      <c r="F13" s="179" t="s">
        <v>710</v>
      </c>
      <c r="G13" s="180">
        <v>1</v>
      </c>
      <c r="H13" s="181">
        <v>69433.8</v>
      </c>
      <c r="I13" s="181">
        <f t="shared" si="1"/>
        <v>69433.8</v>
      </c>
    </row>
    <row r="14" spans="1:9">
      <c r="A14" s="180" t="s">
        <v>555</v>
      </c>
      <c r="B14" s="178" t="s">
        <v>715</v>
      </c>
      <c r="C14" s="177" t="s">
        <v>708</v>
      </c>
      <c r="D14" s="179" t="s">
        <v>716</v>
      </c>
      <c r="E14" s="179" t="s">
        <v>717</v>
      </c>
      <c r="F14" s="179" t="s">
        <v>718</v>
      </c>
      <c r="G14" s="180">
        <v>1</v>
      </c>
      <c r="H14" s="181">
        <v>50000</v>
      </c>
      <c r="I14" s="181">
        <f t="shared" si="0"/>
        <v>50000</v>
      </c>
    </row>
    <row r="15" spans="1:9">
      <c r="A15" s="184" t="s">
        <v>567</v>
      </c>
      <c r="B15" s="178"/>
      <c r="C15" s="177"/>
      <c r="D15" s="179"/>
      <c r="E15" s="179"/>
      <c r="F15" s="179"/>
      <c r="G15" s="180"/>
      <c r="H15" s="181"/>
      <c r="I15" s="181">
        <f>SUBTOTAL(9,I3:I14)</f>
        <v>887573.4</v>
      </c>
    </row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0" orientation="landscape" verticalDpi="0" r:id="rId1"/>
  <headerFooter>
    <oddFooter>第 &amp;P 页，共 &amp;N 页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"/>
  <sheetViews>
    <sheetView workbookViewId="0">
      <selection activeCell="A13" sqref="A13:XFD111"/>
    </sheetView>
  </sheetViews>
  <sheetFormatPr defaultRowHeight="13.5"/>
  <cols>
    <col min="1" max="1" width="8" style="194" customWidth="1"/>
    <col min="2" max="2" width="29.5" style="186" customWidth="1"/>
    <col min="3" max="3" width="20.125" style="186" customWidth="1"/>
    <col min="4" max="4" width="34.5" style="186" customWidth="1"/>
    <col min="5" max="5" width="8.125" style="186" customWidth="1"/>
    <col min="6" max="6" width="7.75" style="186" customWidth="1"/>
    <col min="7" max="7" width="10" style="186" customWidth="1"/>
    <col min="8" max="8" width="13.625" style="186" customWidth="1"/>
    <col min="9" max="16384" width="9" style="186"/>
  </cols>
  <sheetData>
    <row r="1" spans="1:7" ht="18.75">
      <c r="A1" s="387" t="s">
        <v>719</v>
      </c>
      <c r="B1" s="387"/>
      <c r="C1" s="387"/>
      <c r="D1" s="387"/>
      <c r="E1" s="387"/>
      <c r="F1" s="387"/>
      <c r="G1" s="387"/>
    </row>
    <row r="2" spans="1:7" s="188" customFormat="1" ht="18" customHeight="1">
      <c r="A2" s="187" t="s">
        <v>556</v>
      </c>
      <c r="B2" s="187" t="s">
        <v>720</v>
      </c>
      <c r="C2" s="187" t="s">
        <v>687</v>
      </c>
      <c r="D2" s="187" t="s">
        <v>688</v>
      </c>
      <c r="E2" s="187" t="s">
        <v>689</v>
      </c>
      <c r="F2" s="187" t="s">
        <v>690</v>
      </c>
      <c r="G2" s="187" t="s">
        <v>691</v>
      </c>
    </row>
    <row r="3" spans="1:7" s="188" customFormat="1" ht="18" customHeight="1">
      <c r="A3" s="182" t="s">
        <v>542</v>
      </c>
      <c r="B3" s="182" t="s">
        <v>721</v>
      </c>
      <c r="C3" s="182" t="s">
        <v>722</v>
      </c>
      <c r="D3" s="182" t="s">
        <v>723</v>
      </c>
      <c r="E3" s="182">
        <v>476</v>
      </c>
      <c r="F3" s="182">
        <v>46</v>
      </c>
      <c r="G3" s="178">
        <f t="shared" ref="G3:G11" si="0">E3*F3</f>
        <v>21896</v>
      </c>
    </row>
    <row r="4" spans="1:7" s="188" customFormat="1" ht="18" customHeight="1">
      <c r="A4" s="178" t="s">
        <v>555</v>
      </c>
      <c r="B4" s="178" t="s">
        <v>378</v>
      </c>
      <c r="C4" s="178" t="s">
        <v>724</v>
      </c>
      <c r="D4" s="178" t="s">
        <v>725</v>
      </c>
      <c r="E4" s="178">
        <v>1</v>
      </c>
      <c r="F4" s="178">
        <v>50000</v>
      </c>
      <c r="G4" s="178">
        <f t="shared" si="0"/>
        <v>50000</v>
      </c>
    </row>
    <row r="5" spans="1:7" s="188" customFormat="1" ht="18" customHeight="1">
      <c r="A5" s="178" t="s">
        <v>555</v>
      </c>
      <c r="B5" s="178" t="s">
        <v>378</v>
      </c>
      <c r="C5" s="189" t="s">
        <v>726</v>
      </c>
      <c r="D5" s="189" t="s">
        <v>726</v>
      </c>
      <c r="E5" s="178">
        <v>1</v>
      </c>
      <c r="F5" s="178">
        <v>300000</v>
      </c>
      <c r="G5" s="178">
        <f t="shared" si="0"/>
        <v>300000</v>
      </c>
    </row>
    <row r="6" spans="1:7" s="188" customFormat="1" ht="18" customHeight="1">
      <c r="A6" s="182" t="s">
        <v>542</v>
      </c>
      <c r="B6" s="182" t="s">
        <v>380</v>
      </c>
      <c r="C6" s="182" t="s">
        <v>722</v>
      </c>
      <c r="D6" s="182" t="s">
        <v>723</v>
      </c>
      <c r="E6" s="182">
        <v>395</v>
      </c>
      <c r="F6" s="182">
        <v>46</v>
      </c>
      <c r="G6" s="178">
        <f t="shared" si="0"/>
        <v>18170</v>
      </c>
    </row>
    <row r="7" spans="1:7" s="188" customFormat="1" ht="18" customHeight="1">
      <c r="A7" s="182" t="s">
        <v>542</v>
      </c>
      <c r="B7" s="182" t="s">
        <v>376</v>
      </c>
      <c r="C7" s="182" t="s">
        <v>722</v>
      </c>
      <c r="D7" s="182" t="s">
        <v>723</v>
      </c>
      <c r="E7" s="182">
        <v>721</v>
      </c>
      <c r="F7" s="182">
        <v>46</v>
      </c>
      <c r="G7" s="178">
        <f t="shared" si="0"/>
        <v>33166</v>
      </c>
    </row>
    <row r="8" spans="1:7" s="188" customFormat="1" ht="18" customHeight="1">
      <c r="A8" s="190" t="s">
        <v>555</v>
      </c>
      <c r="B8" s="190" t="s">
        <v>376</v>
      </c>
      <c r="C8" s="178" t="s">
        <v>724</v>
      </c>
      <c r="D8" s="178" t="s">
        <v>725</v>
      </c>
      <c r="E8" s="178">
        <v>1</v>
      </c>
      <c r="F8" s="178">
        <v>50000</v>
      </c>
      <c r="G8" s="178">
        <f t="shared" si="0"/>
        <v>50000</v>
      </c>
    </row>
    <row r="9" spans="1:7" s="188" customFormat="1" ht="18" customHeight="1">
      <c r="A9" s="191" t="s">
        <v>555</v>
      </c>
      <c r="B9" s="192" t="s">
        <v>376</v>
      </c>
      <c r="C9" s="192" t="s">
        <v>727</v>
      </c>
      <c r="D9" s="192" t="s">
        <v>728</v>
      </c>
      <c r="E9" s="192">
        <v>1</v>
      </c>
      <c r="F9" s="192">
        <v>80000</v>
      </c>
      <c r="G9" s="178">
        <f t="shared" si="0"/>
        <v>80000</v>
      </c>
    </row>
    <row r="10" spans="1:7" s="188" customFormat="1" ht="18" customHeight="1">
      <c r="A10" s="182" t="s">
        <v>542</v>
      </c>
      <c r="B10" s="182" t="s">
        <v>375</v>
      </c>
      <c r="C10" s="182" t="s">
        <v>722</v>
      </c>
      <c r="D10" s="182" t="s">
        <v>723</v>
      </c>
      <c r="E10" s="182">
        <v>456</v>
      </c>
      <c r="F10" s="182">
        <v>46</v>
      </c>
      <c r="G10" s="178">
        <f t="shared" si="0"/>
        <v>20976</v>
      </c>
    </row>
    <row r="11" spans="1:7" s="188" customFormat="1" ht="18" customHeight="1">
      <c r="A11" s="182" t="s">
        <v>542</v>
      </c>
      <c r="B11" s="182" t="s">
        <v>372</v>
      </c>
      <c r="C11" s="182" t="s">
        <v>722</v>
      </c>
      <c r="D11" s="182" t="s">
        <v>723</v>
      </c>
      <c r="E11" s="182">
        <v>655</v>
      </c>
      <c r="F11" s="182">
        <v>46</v>
      </c>
      <c r="G11" s="178">
        <f t="shared" si="0"/>
        <v>30130</v>
      </c>
    </row>
    <row r="12" spans="1:7" s="188" customFormat="1" ht="18" customHeight="1">
      <c r="A12" s="193" t="s">
        <v>567</v>
      </c>
      <c r="B12" s="182"/>
      <c r="C12" s="182"/>
      <c r="D12" s="182"/>
      <c r="E12" s="182"/>
      <c r="F12" s="182"/>
      <c r="G12" s="178">
        <f>SUBTOTAL(9,G3:G11)</f>
        <v>604338</v>
      </c>
    </row>
  </sheetData>
  <mergeCells count="1">
    <mergeCell ref="A1:G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"/>
  <sheetViews>
    <sheetView workbookViewId="0">
      <selection activeCell="D7" sqref="A7:XFD72"/>
    </sheetView>
  </sheetViews>
  <sheetFormatPr defaultRowHeight="12"/>
  <cols>
    <col min="1" max="1" width="8.75" style="214" customWidth="1"/>
    <col min="2" max="2" width="23.5" style="195" customWidth="1"/>
    <col min="3" max="3" width="28.125" style="195" customWidth="1"/>
    <col min="4" max="4" width="20.25" style="195" customWidth="1"/>
    <col min="5" max="5" width="40.875" style="195" customWidth="1"/>
    <col min="6" max="6" width="7.625" style="195" customWidth="1"/>
    <col min="7" max="7" width="9.375" style="195" customWidth="1"/>
    <col min="8" max="8" width="11.5" style="195" customWidth="1"/>
    <col min="9" max="9" width="15.875" style="198" customWidth="1"/>
    <col min="10" max="10" width="11.625" style="195" customWidth="1"/>
    <col min="11" max="256" width="9" style="195"/>
    <col min="257" max="257" width="13.25" style="195" customWidth="1"/>
    <col min="258" max="258" width="29" style="195" customWidth="1"/>
    <col min="259" max="259" width="26" style="195" customWidth="1"/>
    <col min="260" max="260" width="20.25" style="195" customWidth="1"/>
    <col min="261" max="261" width="40.875" style="195" customWidth="1"/>
    <col min="262" max="263" width="13.125" style="195" customWidth="1"/>
    <col min="264" max="264" width="11.5" style="195" customWidth="1"/>
    <col min="265" max="265" width="15.875" style="195" customWidth="1"/>
    <col min="266" max="266" width="11.625" style="195" customWidth="1"/>
    <col min="267" max="512" width="9" style="195"/>
    <col min="513" max="513" width="13.25" style="195" customWidth="1"/>
    <col min="514" max="514" width="29" style="195" customWidth="1"/>
    <col min="515" max="515" width="26" style="195" customWidth="1"/>
    <col min="516" max="516" width="20.25" style="195" customWidth="1"/>
    <col min="517" max="517" width="40.875" style="195" customWidth="1"/>
    <col min="518" max="519" width="13.125" style="195" customWidth="1"/>
    <col min="520" max="520" width="11.5" style="195" customWidth="1"/>
    <col min="521" max="521" width="15.875" style="195" customWidth="1"/>
    <col min="522" max="522" width="11.625" style="195" customWidth="1"/>
    <col min="523" max="768" width="9" style="195"/>
    <col min="769" max="769" width="13.25" style="195" customWidth="1"/>
    <col min="770" max="770" width="29" style="195" customWidth="1"/>
    <col min="771" max="771" width="26" style="195" customWidth="1"/>
    <col min="772" max="772" width="20.25" style="195" customWidth="1"/>
    <col min="773" max="773" width="40.875" style="195" customWidth="1"/>
    <col min="774" max="775" width="13.125" style="195" customWidth="1"/>
    <col min="776" max="776" width="11.5" style="195" customWidth="1"/>
    <col min="777" max="777" width="15.875" style="195" customWidth="1"/>
    <col min="778" max="778" width="11.625" style="195" customWidth="1"/>
    <col min="779" max="1024" width="9" style="195"/>
    <col min="1025" max="1025" width="13.25" style="195" customWidth="1"/>
    <col min="1026" max="1026" width="29" style="195" customWidth="1"/>
    <col min="1027" max="1027" width="26" style="195" customWidth="1"/>
    <col min="1028" max="1028" width="20.25" style="195" customWidth="1"/>
    <col min="1029" max="1029" width="40.875" style="195" customWidth="1"/>
    <col min="1030" max="1031" width="13.125" style="195" customWidth="1"/>
    <col min="1032" max="1032" width="11.5" style="195" customWidth="1"/>
    <col min="1033" max="1033" width="15.875" style="195" customWidth="1"/>
    <col min="1034" max="1034" width="11.625" style="195" customWidth="1"/>
    <col min="1035" max="1280" width="9" style="195"/>
    <col min="1281" max="1281" width="13.25" style="195" customWidth="1"/>
    <col min="1282" max="1282" width="29" style="195" customWidth="1"/>
    <col min="1283" max="1283" width="26" style="195" customWidth="1"/>
    <col min="1284" max="1284" width="20.25" style="195" customWidth="1"/>
    <col min="1285" max="1285" width="40.875" style="195" customWidth="1"/>
    <col min="1286" max="1287" width="13.125" style="195" customWidth="1"/>
    <col min="1288" max="1288" width="11.5" style="195" customWidth="1"/>
    <col min="1289" max="1289" width="15.875" style="195" customWidth="1"/>
    <col min="1290" max="1290" width="11.625" style="195" customWidth="1"/>
    <col min="1291" max="1536" width="9" style="195"/>
    <col min="1537" max="1537" width="13.25" style="195" customWidth="1"/>
    <col min="1538" max="1538" width="29" style="195" customWidth="1"/>
    <col min="1539" max="1539" width="26" style="195" customWidth="1"/>
    <col min="1540" max="1540" width="20.25" style="195" customWidth="1"/>
    <col min="1541" max="1541" width="40.875" style="195" customWidth="1"/>
    <col min="1542" max="1543" width="13.125" style="195" customWidth="1"/>
    <col min="1544" max="1544" width="11.5" style="195" customWidth="1"/>
    <col min="1545" max="1545" width="15.875" style="195" customWidth="1"/>
    <col min="1546" max="1546" width="11.625" style="195" customWidth="1"/>
    <col min="1547" max="1792" width="9" style="195"/>
    <col min="1793" max="1793" width="13.25" style="195" customWidth="1"/>
    <col min="1794" max="1794" width="29" style="195" customWidth="1"/>
    <col min="1795" max="1795" width="26" style="195" customWidth="1"/>
    <col min="1796" max="1796" width="20.25" style="195" customWidth="1"/>
    <col min="1797" max="1797" width="40.875" style="195" customWidth="1"/>
    <col min="1798" max="1799" width="13.125" style="195" customWidth="1"/>
    <col min="1800" max="1800" width="11.5" style="195" customWidth="1"/>
    <col min="1801" max="1801" width="15.875" style="195" customWidth="1"/>
    <col min="1802" max="1802" width="11.625" style="195" customWidth="1"/>
    <col min="1803" max="2048" width="9" style="195"/>
    <col min="2049" max="2049" width="13.25" style="195" customWidth="1"/>
    <col min="2050" max="2050" width="29" style="195" customWidth="1"/>
    <col min="2051" max="2051" width="26" style="195" customWidth="1"/>
    <col min="2052" max="2052" width="20.25" style="195" customWidth="1"/>
    <col min="2053" max="2053" width="40.875" style="195" customWidth="1"/>
    <col min="2054" max="2055" width="13.125" style="195" customWidth="1"/>
    <col min="2056" max="2056" width="11.5" style="195" customWidth="1"/>
    <col min="2057" max="2057" width="15.875" style="195" customWidth="1"/>
    <col min="2058" max="2058" width="11.625" style="195" customWidth="1"/>
    <col min="2059" max="2304" width="9" style="195"/>
    <col min="2305" max="2305" width="13.25" style="195" customWidth="1"/>
    <col min="2306" max="2306" width="29" style="195" customWidth="1"/>
    <col min="2307" max="2307" width="26" style="195" customWidth="1"/>
    <col min="2308" max="2308" width="20.25" style="195" customWidth="1"/>
    <col min="2309" max="2309" width="40.875" style="195" customWidth="1"/>
    <col min="2310" max="2311" width="13.125" style="195" customWidth="1"/>
    <col min="2312" max="2312" width="11.5" style="195" customWidth="1"/>
    <col min="2313" max="2313" width="15.875" style="195" customWidth="1"/>
    <col min="2314" max="2314" width="11.625" style="195" customWidth="1"/>
    <col min="2315" max="2560" width="9" style="195"/>
    <col min="2561" max="2561" width="13.25" style="195" customWidth="1"/>
    <col min="2562" max="2562" width="29" style="195" customWidth="1"/>
    <col min="2563" max="2563" width="26" style="195" customWidth="1"/>
    <col min="2564" max="2564" width="20.25" style="195" customWidth="1"/>
    <col min="2565" max="2565" width="40.875" style="195" customWidth="1"/>
    <col min="2566" max="2567" width="13.125" style="195" customWidth="1"/>
    <col min="2568" max="2568" width="11.5" style="195" customWidth="1"/>
    <col min="2569" max="2569" width="15.875" style="195" customWidth="1"/>
    <col min="2570" max="2570" width="11.625" style="195" customWidth="1"/>
    <col min="2571" max="2816" width="9" style="195"/>
    <col min="2817" max="2817" width="13.25" style="195" customWidth="1"/>
    <col min="2818" max="2818" width="29" style="195" customWidth="1"/>
    <col min="2819" max="2819" width="26" style="195" customWidth="1"/>
    <col min="2820" max="2820" width="20.25" style="195" customWidth="1"/>
    <col min="2821" max="2821" width="40.875" style="195" customWidth="1"/>
    <col min="2822" max="2823" width="13.125" style="195" customWidth="1"/>
    <col min="2824" max="2824" width="11.5" style="195" customWidth="1"/>
    <col min="2825" max="2825" width="15.875" style="195" customWidth="1"/>
    <col min="2826" max="2826" width="11.625" style="195" customWidth="1"/>
    <col min="2827" max="3072" width="9" style="195"/>
    <col min="3073" max="3073" width="13.25" style="195" customWidth="1"/>
    <col min="3074" max="3074" width="29" style="195" customWidth="1"/>
    <col min="3075" max="3075" width="26" style="195" customWidth="1"/>
    <col min="3076" max="3076" width="20.25" style="195" customWidth="1"/>
    <col min="3077" max="3077" width="40.875" style="195" customWidth="1"/>
    <col min="3078" max="3079" width="13.125" style="195" customWidth="1"/>
    <col min="3080" max="3080" width="11.5" style="195" customWidth="1"/>
    <col min="3081" max="3081" width="15.875" style="195" customWidth="1"/>
    <col min="3082" max="3082" width="11.625" style="195" customWidth="1"/>
    <col min="3083" max="3328" width="9" style="195"/>
    <col min="3329" max="3329" width="13.25" style="195" customWidth="1"/>
    <col min="3330" max="3330" width="29" style="195" customWidth="1"/>
    <col min="3331" max="3331" width="26" style="195" customWidth="1"/>
    <col min="3332" max="3332" width="20.25" style="195" customWidth="1"/>
    <col min="3333" max="3333" width="40.875" style="195" customWidth="1"/>
    <col min="3334" max="3335" width="13.125" style="195" customWidth="1"/>
    <col min="3336" max="3336" width="11.5" style="195" customWidth="1"/>
    <col min="3337" max="3337" width="15.875" style="195" customWidth="1"/>
    <col min="3338" max="3338" width="11.625" style="195" customWidth="1"/>
    <col min="3339" max="3584" width="9" style="195"/>
    <col min="3585" max="3585" width="13.25" style="195" customWidth="1"/>
    <col min="3586" max="3586" width="29" style="195" customWidth="1"/>
    <col min="3587" max="3587" width="26" style="195" customWidth="1"/>
    <col min="3588" max="3588" width="20.25" style="195" customWidth="1"/>
    <col min="3589" max="3589" width="40.875" style="195" customWidth="1"/>
    <col min="3590" max="3591" width="13.125" style="195" customWidth="1"/>
    <col min="3592" max="3592" width="11.5" style="195" customWidth="1"/>
    <col min="3593" max="3593" width="15.875" style="195" customWidth="1"/>
    <col min="3594" max="3594" width="11.625" style="195" customWidth="1"/>
    <col min="3595" max="3840" width="9" style="195"/>
    <col min="3841" max="3841" width="13.25" style="195" customWidth="1"/>
    <col min="3842" max="3842" width="29" style="195" customWidth="1"/>
    <col min="3843" max="3843" width="26" style="195" customWidth="1"/>
    <col min="3844" max="3844" width="20.25" style="195" customWidth="1"/>
    <col min="3845" max="3845" width="40.875" style="195" customWidth="1"/>
    <col min="3846" max="3847" width="13.125" style="195" customWidth="1"/>
    <col min="3848" max="3848" width="11.5" style="195" customWidth="1"/>
    <col min="3849" max="3849" width="15.875" style="195" customWidth="1"/>
    <col min="3850" max="3850" width="11.625" style="195" customWidth="1"/>
    <col min="3851" max="4096" width="9" style="195"/>
    <col min="4097" max="4097" width="13.25" style="195" customWidth="1"/>
    <col min="4098" max="4098" width="29" style="195" customWidth="1"/>
    <col min="4099" max="4099" width="26" style="195" customWidth="1"/>
    <col min="4100" max="4100" width="20.25" style="195" customWidth="1"/>
    <col min="4101" max="4101" width="40.875" style="195" customWidth="1"/>
    <col min="4102" max="4103" width="13.125" style="195" customWidth="1"/>
    <col min="4104" max="4104" width="11.5" style="195" customWidth="1"/>
    <col min="4105" max="4105" width="15.875" style="195" customWidth="1"/>
    <col min="4106" max="4106" width="11.625" style="195" customWidth="1"/>
    <col min="4107" max="4352" width="9" style="195"/>
    <col min="4353" max="4353" width="13.25" style="195" customWidth="1"/>
    <col min="4354" max="4354" width="29" style="195" customWidth="1"/>
    <col min="4355" max="4355" width="26" style="195" customWidth="1"/>
    <col min="4356" max="4356" width="20.25" style="195" customWidth="1"/>
    <col min="4357" max="4357" width="40.875" style="195" customWidth="1"/>
    <col min="4358" max="4359" width="13.125" style="195" customWidth="1"/>
    <col min="4360" max="4360" width="11.5" style="195" customWidth="1"/>
    <col min="4361" max="4361" width="15.875" style="195" customWidth="1"/>
    <col min="4362" max="4362" width="11.625" style="195" customWidth="1"/>
    <col min="4363" max="4608" width="9" style="195"/>
    <col min="4609" max="4609" width="13.25" style="195" customWidth="1"/>
    <col min="4610" max="4610" width="29" style="195" customWidth="1"/>
    <col min="4611" max="4611" width="26" style="195" customWidth="1"/>
    <col min="4612" max="4612" width="20.25" style="195" customWidth="1"/>
    <col min="4613" max="4613" width="40.875" style="195" customWidth="1"/>
    <col min="4614" max="4615" width="13.125" style="195" customWidth="1"/>
    <col min="4616" max="4616" width="11.5" style="195" customWidth="1"/>
    <col min="4617" max="4617" width="15.875" style="195" customWidth="1"/>
    <col min="4618" max="4618" width="11.625" style="195" customWidth="1"/>
    <col min="4619" max="4864" width="9" style="195"/>
    <col min="4865" max="4865" width="13.25" style="195" customWidth="1"/>
    <col min="4866" max="4866" width="29" style="195" customWidth="1"/>
    <col min="4867" max="4867" width="26" style="195" customWidth="1"/>
    <col min="4868" max="4868" width="20.25" style="195" customWidth="1"/>
    <col min="4869" max="4869" width="40.875" style="195" customWidth="1"/>
    <col min="4870" max="4871" width="13.125" style="195" customWidth="1"/>
    <col min="4872" max="4872" width="11.5" style="195" customWidth="1"/>
    <col min="4873" max="4873" width="15.875" style="195" customWidth="1"/>
    <col min="4874" max="4874" width="11.625" style="195" customWidth="1"/>
    <col min="4875" max="5120" width="9" style="195"/>
    <col min="5121" max="5121" width="13.25" style="195" customWidth="1"/>
    <col min="5122" max="5122" width="29" style="195" customWidth="1"/>
    <col min="5123" max="5123" width="26" style="195" customWidth="1"/>
    <col min="5124" max="5124" width="20.25" style="195" customWidth="1"/>
    <col min="5125" max="5125" width="40.875" style="195" customWidth="1"/>
    <col min="5126" max="5127" width="13.125" style="195" customWidth="1"/>
    <col min="5128" max="5128" width="11.5" style="195" customWidth="1"/>
    <col min="5129" max="5129" width="15.875" style="195" customWidth="1"/>
    <col min="5130" max="5130" width="11.625" style="195" customWidth="1"/>
    <col min="5131" max="5376" width="9" style="195"/>
    <col min="5377" max="5377" width="13.25" style="195" customWidth="1"/>
    <col min="5378" max="5378" width="29" style="195" customWidth="1"/>
    <col min="5379" max="5379" width="26" style="195" customWidth="1"/>
    <col min="5380" max="5380" width="20.25" style="195" customWidth="1"/>
    <col min="5381" max="5381" width="40.875" style="195" customWidth="1"/>
    <col min="5382" max="5383" width="13.125" style="195" customWidth="1"/>
    <col min="5384" max="5384" width="11.5" style="195" customWidth="1"/>
    <col min="5385" max="5385" width="15.875" style="195" customWidth="1"/>
    <col min="5386" max="5386" width="11.625" style="195" customWidth="1"/>
    <col min="5387" max="5632" width="9" style="195"/>
    <col min="5633" max="5633" width="13.25" style="195" customWidth="1"/>
    <col min="5634" max="5634" width="29" style="195" customWidth="1"/>
    <col min="5635" max="5635" width="26" style="195" customWidth="1"/>
    <col min="5636" max="5636" width="20.25" style="195" customWidth="1"/>
    <col min="5637" max="5637" width="40.875" style="195" customWidth="1"/>
    <col min="5638" max="5639" width="13.125" style="195" customWidth="1"/>
    <col min="5640" max="5640" width="11.5" style="195" customWidth="1"/>
    <col min="5641" max="5641" width="15.875" style="195" customWidth="1"/>
    <col min="5642" max="5642" width="11.625" style="195" customWidth="1"/>
    <col min="5643" max="5888" width="9" style="195"/>
    <col min="5889" max="5889" width="13.25" style="195" customWidth="1"/>
    <col min="5890" max="5890" width="29" style="195" customWidth="1"/>
    <col min="5891" max="5891" width="26" style="195" customWidth="1"/>
    <col min="5892" max="5892" width="20.25" style="195" customWidth="1"/>
    <col min="5893" max="5893" width="40.875" style="195" customWidth="1"/>
    <col min="5894" max="5895" width="13.125" style="195" customWidth="1"/>
    <col min="5896" max="5896" width="11.5" style="195" customWidth="1"/>
    <col min="5897" max="5897" width="15.875" style="195" customWidth="1"/>
    <col min="5898" max="5898" width="11.625" style="195" customWidth="1"/>
    <col min="5899" max="6144" width="9" style="195"/>
    <col min="6145" max="6145" width="13.25" style="195" customWidth="1"/>
    <col min="6146" max="6146" width="29" style="195" customWidth="1"/>
    <col min="6147" max="6147" width="26" style="195" customWidth="1"/>
    <col min="6148" max="6148" width="20.25" style="195" customWidth="1"/>
    <col min="6149" max="6149" width="40.875" style="195" customWidth="1"/>
    <col min="6150" max="6151" width="13.125" style="195" customWidth="1"/>
    <col min="6152" max="6152" width="11.5" style="195" customWidth="1"/>
    <col min="6153" max="6153" width="15.875" style="195" customWidth="1"/>
    <col min="6154" max="6154" width="11.625" style="195" customWidth="1"/>
    <col min="6155" max="6400" width="9" style="195"/>
    <col min="6401" max="6401" width="13.25" style="195" customWidth="1"/>
    <col min="6402" max="6402" width="29" style="195" customWidth="1"/>
    <col min="6403" max="6403" width="26" style="195" customWidth="1"/>
    <col min="6404" max="6404" width="20.25" style="195" customWidth="1"/>
    <col min="6405" max="6405" width="40.875" style="195" customWidth="1"/>
    <col min="6406" max="6407" width="13.125" style="195" customWidth="1"/>
    <col min="6408" max="6408" width="11.5" style="195" customWidth="1"/>
    <col min="6409" max="6409" width="15.875" style="195" customWidth="1"/>
    <col min="6410" max="6410" width="11.625" style="195" customWidth="1"/>
    <col min="6411" max="6656" width="9" style="195"/>
    <col min="6657" max="6657" width="13.25" style="195" customWidth="1"/>
    <col min="6658" max="6658" width="29" style="195" customWidth="1"/>
    <col min="6659" max="6659" width="26" style="195" customWidth="1"/>
    <col min="6660" max="6660" width="20.25" style="195" customWidth="1"/>
    <col min="6661" max="6661" width="40.875" style="195" customWidth="1"/>
    <col min="6662" max="6663" width="13.125" style="195" customWidth="1"/>
    <col min="6664" max="6664" width="11.5" style="195" customWidth="1"/>
    <col min="6665" max="6665" width="15.875" style="195" customWidth="1"/>
    <col min="6666" max="6666" width="11.625" style="195" customWidth="1"/>
    <col min="6667" max="6912" width="9" style="195"/>
    <col min="6913" max="6913" width="13.25" style="195" customWidth="1"/>
    <col min="6914" max="6914" width="29" style="195" customWidth="1"/>
    <col min="6915" max="6915" width="26" style="195" customWidth="1"/>
    <col min="6916" max="6916" width="20.25" style="195" customWidth="1"/>
    <col min="6917" max="6917" width="40.875" style="195" customWidth="1"/>
    <col min="6918" max="6919" width="13.125" style="195" customWidth="1"/>
    <col min="6920" max="6920" width="11.5" style="195" customWidth="1"/>
    <col min="6921" max="6921" width="15.875" style="195" customWidth="1"/>
    <col min="6922" max="6922" width="11.625" style="195" customWidth="1"/>
    <col min="6923" max="7168" width="9" style="195"/>
    <col min="7169" max="7169" width="13.25" style="195" customWidth="1"/>
    <col min="7170" max="7170" width="29" style="195" customWidth="1"/>
    <col min="7171" max="7171" width="26" style="195" customWidth="1"/>
    <col min="7172" max="7172" width="20.25" style="195" customWidth="1"/>
    <col min="7173" max="7173" width="40.875" style="195" customWidth="1"/>
    <col min="7174" max="7175" width="13.125" style="195" customWidth="1"/>
    <col min="7176" max="7176" width="11.5" style="195" customWidth="1"/>
    <col min="7177" max="7177" width="15.875" style="195" customWidth="1"/>
    <col min="7178" max="7178" width="11.625" style="195" customWidth="1"/>
    <col min="7179" max="7424" width="9" style="195"/>
    <col min="7425" max="7425" width="13.25" style="195" customWidth="1"/>
    <col min="7426" max="7426" width="29" style="195" customWidth="1"/>
    <col min="7427" max="7427" width="26" style="195" customWidth="1"/>
    <col min="7428" max="7428" width="20.25" style="195" customWidth="1"/>
    <col min="7429" max="7429" width="40.875" style="195" customWidth="1"/>
    <col min="7430" max="7431" width="13.125" style="195" customWidth="1"/>
    <col min="7432" max="7432" width="11.5" style="195" customWidth="1"/>
    <col min="7433" max="7433" width="15.875" style="195" customWidth="1"/>
    <col min="7434" max="7434" width="11.625" style="195" customWidth="1"/>
    <col min="7435" max="7680" width="9" style="195"/>
    <col min="7681" max="7681" width="13.25" style="195" customWidth="1"/>
    <col min="7682" max="7682" width="29" style="195" customWidth="1"/>
    <col min="7683" max="7683" width="26" style="195" customWidth="1"/>
    <col min="7684" max="7684" width="20.25" style="195" customWidth="1"/>
    <col min="7685" max="7685" width="40.875" style="195" customWidth="1"/>
    <col min="7686" max="7687" width="13.125" style="195" customWidth="1"/>
    <col min="7688" max="7688" width="11.5" style="195" customWidth="1"/>
    <col min="7689" max="7689" width="15.875" style="195" customWidth="1"/>
    <col min="7690" max="7690" width="11.625" style="195" customWidth="1"/>
    <col min="7691" max="7936" width="9" style="195"/>
    <col min="7937" max="7937" width="13.25" style="195" customWidth="1"/>
    <col min="7938" max="7938" width="29" style="195" customWidth="1"/>
    <col min="7939" max="7939" width="26" style="195" customWidth="1"/>
    <col min="7940" max="7940" width="20.25" style="195" customWidth="1"/>
    <col min="7941" max="7941" width="40.875" style="195" customWidth="1"/>
    <col min="7942" max="7943" width="13.125" style="195" customWidth="1"/>
    <col min="7944" max="7944" width="11.5" style="195" customWidth="1"/>
    <col min="7945" max="7945" width="15.875" style="195" customWidth="1"/>
    <col min="7946" max="7946" width="11.625" style="195" customWidth="1"/>
    <col min="7947" max="8192" width="9" style="195"/>
    <col min="8193" max="8193" width="13.25" style="195" customWidth="1"/>
    <col min="8194" max="8194" width="29" style="195" customWidth="1"/>
    <col min="8195" max="8195" width="26" style="195" customWidth="1"/>
    <col min="8196" max="8196" width="20.25" style="195" customWidth="1"/>
    <col min="8197" max="8197" width="40.875" style="195" customWidth="1"/>
    <col min="8198" max="8199" width="13.125" style="195" customWidth="1"/>
    <col min="8200" max="8200" width="11.5" style="195" customWidth="1"/>
    <col min="8201" max="8201" width="15.875" style="195" customWidth="1"/>
    <col min="8202" max="8202" width="11.625" style="195" customWidth="1"/>
    <col min="8203" max="8448" width="9" style="195"/>
    <col min="8449" max="8449" width="13.25" style="195" customWidth="1"/>
    <col min="8450" max="8450" width="29" style="195" customWidth="1"/>
    <col min="8451" max="8451" width="26" style="195" customWidth="1"/>
    <col min="8452" max="8452" width="20.25" style="195" customWidth="1"/>
    <col min="8453" max="8453" width="40.875" style="195" customWidth="1"/>
    <col min="8454" max="8455" width="13.125" style="195" customWidth="1"/>
    <col min="8456" max="8456" width="11.5" style="195" customWidth="1"/>
    <col min="8457" max="8457" width="15.875" style="195" customWidth="1"/>
    <col min="8458" max="8458" width="11.625" style="195" customWidth="1"/>
    <col min="8459" max="8704" width="9" style="195"/>
    <col min="8705" max="8705" width="13.25" style="195" customWidth="1"/>
    <col min="8706" max="8706" width="29" style="195" customWidth="1"/>
    <col min="8707" max="8707" width="26" style="195" customWidth="1"/>
    <col min="8708" max="8708" width="20.25" style="195" customWidth="1"/>
    <col min="8709" max="8709" width="40.875" style="195" customWidth="1"/>
    <col min="8710" max="8711" width="13.125" style="195" customWidth="1"/>
    <col min="8712" max="8712" width="11.5" style="195" customWidth="1"/>
    <col min="8713" max="8713" width="15.875" style="195" customWidth="1"/>
    <col min="8714" max="8714" width="11.625" style="195" customWidth="1"/>
    <col min="8715" max="8960" width="9" style="195"/>
    <col min="8961" max="8961" width="13.25" style="195" customWidth="1"/>
    <col min="8962" max="8962" width="29" style="195" customWidth="1"/>
    <col min="8963" max="8963" width="26" style="195" customWidth="1"/>
    <col min="8964" max="8964" width="20.25" style="195" customWidth="1"/>
    <col min="8965" max="8965" width="40.875" style="195" customWidth="1"/>
    <col min="8966" max="8967" width="13.125" style="195" customWidth="1"/>
    <col min="8968" max="8968" width="11.5" style="195" customWidth="1"/>
    <col min="8969" max="8969" width="15.875" style="195" customWidth="1"/>
    <col min="8970" max="8970" width="11.625" style="195" customWidth="1"/>
    <col min="8971" max="9216" width="9" style="195"/>
    <col min="9217" max="9217" width="13.25" style="195" customWidth="1"/>
    <col min="9218" max="9218" width="29" style="195" customWidth="1"/>
    <col min="9219" max="9219" width="26" style="195" customWidth="1"/>
    <col min="9220" max="9220" width="20.25" style="195" customWidth="1"/>
    <col min="9221" max="9221" width="40.875" style="195" customWidth="1"/>
    <col min="9222" max="9223" width="13.125" style="195" customWidth="1"/>
    <col min="9224" max="9224" width="11.5" style="195" customWidth="1"/>
    <col min="9225" max="9225" width="15.875" style="195" customWidth="1"/>
    <col min="9226" max="9226" width="11.625" style="195" customWidth="1"/>
    <col min="9227" max="9472" width="9" style="195"/>
    <col min="9473" max="9473" width="13.25" style="195" customWidth="1"/>
    <col min="9474" max="9474" width="29" style="195" customWidth="1"/>
    <col min="9475" max="9475" width="26" style="195" customWidth="1"/>
    <col min="9476" max="9476" width="20.25" style="195" customWidth="1"/>
    <col min="9477" max="9477" width="40.875" style="195" customWidth="1"/>
    <col min="9478" max="9479" width="13.125" style="195" customWidth="1"/>
    <col min="9480" max="9480" width="11.5" style="195" customWidth="1"/>
    <col min="9481" max="9481" width="15.875" style="195" customWidth="1"/>
    <col min="9482" max="9482" width="11.625" style="195" customWidth="1"/>
    <col min="9483" max="9728" width="9" style="195"/>
    <col min="9729" max="9729" width="13.25" style="195" customWidth="1"/>
    <col min="9730" max="9730" width="29" style="195" customWidth="1"/>
    <col min="9731" max="9731" width="26" style="195" customWidth="1"/>
    <col min="9732" max="9732" width="20.25" style="195" customWidth="1"/>
    <col min="9733" max="9733" width="40.875" style="195" customWidth="1"/>
    <col min="9734" max="9735" width="13.125" style="195" customWidth="1"/>
    <col min="9736" max="9736" width="11.5" style="195" customWidth="1"/>
    <col min="9737" max="9737" width="15.875" style="195" customWidth="1"/>
    <col min="9738" max="9738" width="11.625" style="195" customWidth="1"/>
    <col min="9739" max="9984" width="9" style="195"/>
    <col min="9985" max="9985" width="13.25" style="195" customWidth="1"/>
    <col min="9986" max="9986" width="29" style="195" customWidth="1"/>
    <col min="9987" max="9987" width="26" style="195" customWidth="1"/>
    <col min="9988" max="9988" width="20.25" style="195" customWidth="1"/>
    <col min="9989" max="9989" width="40.875" style="195" customWidth="1"/>
    <col min="9990" max="9991" width="13.125" style="195" customWidth="1"/>
    <col min="9992" max="9992" width="11.5" style="195" customWidth="1"/>
    <col min="9993" max="9993" width="15.875" style="195" customWidth="1"/>
    <col min="9994" max="9994" width="11.625" style="195" customWidth="1"/>
    <col min="9995" max="10240" width="9" style="195"/>
    <col min="10241" max="10241" width="13.25" style="195" customWidth="1"/>
    <col min="10242" max="10242" width="29" style="195" customWidth="1"/>
    <col min="10243" max="10243" width="26" style="195" customWidth="1"/>
    <col min="10244" max="10244" width="20.25" style="195" customWidth="1"/>
    <col min="10245" max="10245" width="40.875" style="195" customWidth="1"/>
    <col min="10246" max="10247" width="13.125" style="195" customWidth="1"/>
    <col min="10248" max="10248" width="11.5" style="195" customWidth="1"/>
    <col min="10249" max="10249" width="15.875" style="195" customWidth="1"/>
    <col min="10250" max="10250" width="11.625" style="195" customWidth="1"/>
    <col min="10251" max="10496" width="9" style="195"/>
    <col min="10497" max="10497" width="13.25" style="195" customWidth="1"/>
    <col min="10498" max="10498" width="29" style="195" customWidth="1"/>
    <col min="10499" max="10499" width="26" style="195" customWidth="1"/>
    <col min="10500" max="10500" width="20.25" style="195" customWidth="1"/>
    <col min="10501" max="10501" width="40.875" style="195" customWidth="1"/>
    <col min="10502" max="10503" width="13.125" style="195" customWidth="1"/>
    <col min="10504" max="10504" width="11.5" style="195" customWidth="1"/>
    <col min="10505" max="10505" width="15.875" style="195" customWidth="1"/>
    <col min="10506" max="10506" width="11.625" style="195" customWidth="1"/>
    <col min="10507" max="10752" width="9" style="195"/>
    <col min="10753" max="10753" width="13.25" style="195" customWidth="1"/>
    <col min="10754" max="10754" width="29" style="195" customWidth="1"/>
    <col min="10755" max="10755" width="26" style="195" customWidth="1"/>
    <col min="10756" max="10756" width="20.25" style="195" customWidth="1"/>
    <col min="10757" max="10757" width="40.875" style="195" customWidth="1"/>
    <col min="10758" max="10759" width="13.125" style="195" customWidth="1"/>
    <col min="10760" max="10760" width="11.5" style="195" customWidth="1"/>
    <col min="10761" max="10761" width="15.875" style="195" customWidth="1"/>
    <col min="10762" max="10762" width="11.625" style="195" customWidth="1"/>
    <col min="10763" max="11008" width="9" style="195"/>
    <col min="11009" max="11009" width="13.25" style="195" customWidth="1"/>
    <col min="11010" max="11010" width="29" style="195" customWidth="1"/>
    <col min="11011" max="11011" width="26" style="195" customWidth="1"/>
    <col min="11012" max="11012" width="20.25" style="195" customWidth="1"/>
    <col min="11013" max="11013" width="40.875" style="195" customWidth="1"/>
    <col min="11014" max="11015" width="13.125" style="195" customWidth="1"/>
    <col min="11016" max="11016" width="11.5" style="195" customWidth="1"/>
    <col min="11017" max="11017" width="15.875" style="195" customWidth="1"/>
    <col min="11018" max="11018" width="11.625" style="195" customWidth="1"/>
    <col min="11019" max="11264" width="9" style="195"/>
    <col min="11265" max="11265" width="13.25" style="195" customWidth="1"/>
    <col min="11266" max="11266" width="29" style="195" customWidth="1"/>
    <col min="11267" max="11267" width="26" style="195" customWidth="1"/>
    <col min="11268" max="11268" width="20.25" style="195" customWidth="1"/>
    <col min="11269" max="11269" width="40.875" style="195" customWidth="1"/>
    <col min="11270" max="11271" width="13.125" style="195" customWidth="1"/>
    <col min="11272" max="11272" width="11.5" style="195" customWidth="1"/>
    <col min="11273" max="11273" width="15.875" style="195" customWidth="1"/>
    <col min="11274" max="11274" width="11.625" style="195" customWidth="1"/>
    <col min="11275" max="11520" width="9" style="195"/>
    <col min="11521" max="11521" width="13.25" style="195" customWidth="1"/>
    <col min="11522" max="11522" width="29" style="195" customWidth="1"/>
    <col min="11523" max="11523" width="26" style="195" customWidth="1"/>
    <col min="11524" max="11524" width="20.25" style="195" customWidth="1"/>
    <col min="11525" max="11525" width="40.875" style="195" customWidth="1"/>
    <col min="11526" max="11527" width="13.125" style="195" customWidth="1"/>
    <col min="11528" max="11528" width="11.5" style="195" customWidth="1"/>
    <col min="11529" max="11529" width="15.875" style="195" customWidth="1"/>
    <col min="11530" max="11530" width="11.625" style="195" customWidth="1"/>
    <col min="11531" max="11776" width="9" style="195"/>
    <col min="11777" max="11777" width="13.25" style="195" customWidth="1"/>
    <col min="11778" max="11778" width="29" style="195" customWidth="1"/>
    <col min="11779" max="11779" width="26" style="195" customWidth="1"/>
    <col min="11780" max="11780" width="20.25" style="195" customWidth="1"/>
    <col min="11781" max="11781" width="40.875" style="195" customWidth="1"/>
    <col min="11782" max="11783" width="13.125" style="195" customWidth="1"/>
    <col min="11784" max="11784" width="11.5" style="195" customWidth="1"/>
    <col min="11785" max="11785" width="15.875" style="195" customWidth="1"/>
    <col min="11786" max="11786" width="11.625" style="195" customWidth="1"/>
    <col min="11787" max="12032" width="9" style="195"/>
    <col min="12033" max="12033" width="13.25" style="195" customWidth="1"/>
    <col min="12034" max="12034" width="29" style="195" customWidth="1"/>
    <col min="12035" max="12035" width="26" style="195" customWidth="1"/>
    <col min="12036" max="12036" width="20.25" style="195" customWidth="1"/>
    <col min="12037" max="12037" width="40.875" style="195" customWidth="1"/>
    <col min="12038" max="12039" width="13.125" style="195" customWidth="1"/>
    <col min="12040" max="12040" width="11.5" style="195" customWidth="1"/>
    <col min="12041" max="12041" width="15.875" style="195" customWidth="1"/>
    <col min="12042" max="12042" width="11.625" style="195" customWidth="1"/>
    <col min="12043" max="12288" width="9" style="195"/>
    <col min="12289" max="12289" width="13.25" style="195" customWidth="1"/>
    <col min="12290" max="12290" width="29" style="195" customWidth="1"/>
    <col min="12291" max="12291" width="26" style="195" customWidth="1"/>
    <col min="12292" max="12292" width="20.25" style="195" customWidth="1"/>
    <col min="12293" max="12293" width="40.875" style="195" customWidth="1"/>
    <col min="12294" max="12295" width="13.125" style="195" customWidth="1"/>
    <col min="12296" max="12296" width="11.5" style="195" customWidth="1"/>
    <col min="12297" max="12297" width="15.875" style="195" customWidth="1"/>
    <col min="12298" max="12298" width="11.625" style="195" customWidth="1"/>
    <col min="12299" max="12544" width="9" style="195"/>
    <col min="12545" max="12545" width="13.25" style="195" customWidth="1"/>
    <col min="12546" max="12546" width="29" style="195" customWidth="1"/>
    <col min="12547" max="12547" width="26" style="195" customWidth="1"/>
    <col min="12548" max="12548" width="20.25" style="195" customWidth="1"/>
    <col min="12549" max="12549" width="40.875" style="195" customWidth="1"/>
    <col min="12550" max="12551" width="13.125" style="195" customWidth="1"/>
    <col min="12552" max="12552" width="11.5" style="195" customWidth="1"/>
    <col min="12553" max="12553" width="15.875" style="195" customWidth="1"/>
    <col min="12554" max="12554" width="11.625" style="195" customWidth="1"/>
    <col min="12555" max="12800" width="9" style="195"/>
    <col min="12801" max="12801" width="13.25" style="195" customWidth="1"/>
    <col min="12802" max="12802" width="29" style="195" customWidth="1"/>
    <col min="12803" max="12803" width="26" style="195" customWidth="1"/>
    <col min="12804" max="12804" width="20.25" style="195" customWidth="1"/>
    <col min="12805" max="12805" width="40.875" style="195" customWidth="1"/>
    <col min="12806" max="12807" width="13.125" style="195" customWidth="1"/>
    <col min="12808" max="12808" width="11.5" style="195" customWidth="1"/>
    <col min="12809" max="12809" width="15.875" style="195" customWidth="1"/>
    <col min="12810" max="12810" width="11.625" style="195" customWidth="1"/>
    <col min="12811" max="13056" width="9" style="195"/>
    <col min="13057" max="13057" width="13.25" style="195" customWidth="1"/>
    <col min="13058" max="13058" width="29" style="195" customWidth="1"/>
    <col min="13059" max="13059" width="26" style="195" customWidth="1"/>
    <col min="13060" max="13060" width="20.25" style="195" customWidth="1"/>
    <col min="13061" max="13061" width="40.875" style="195" customWidth="1"/>
    <col min="13062" max="13063" width="13.125" style="195" customWidth="1"/>
    <col min="13064" max="13064" width="11.5" style="195" customWidth="1"/>
    <col min="13065" max="13065" width="15.875" style="195" customWidth="1"/>
    <col min="13066" max="13066" width="11.625" style="195" customWidth="1"/>
    <col min="13067" max="13312" width="9" style="195"/>
    <col min="13313" max="13313" width="13.25" style="195" customWidth="1"/>
    <col min="13314" max="13314" width="29" style="195" customWidth="1"/>
    <col min="13315" max="13315" width="26" style="195" customWidth="1"/>
    <col min="13316" max="13316" width="20.25" style="195" customWidth="1"/>
    <col min="13317" max="13317" width="40.875" style="195" customWidth="1"/>
    <col min="13318" max="13319" width="13.125" style="195" customWidth="1"/>
    <col min="13320" max="13320" width="11.5" style="195" customWidth="1"/>
    <col min="13321" max="13321" width="15.875" style="195" customWidth="1"/>
    <col min="13322" max="13322" width="11.625" style="195" customWidth="1"/>
    <col min="13323" max="13568" width="9" style="195"/>
    <col min="13569" max="13569" width="13.25" style="195" customWidth="1"/>
    <col min="13570" max="13570" width="29" style="195" customWidth="1"/>
    <col min="13571" max="13571" width="26" style="195" customWidth="1"/>
    <col min="13572" max="13572" width="20.25" style="195" customWidth="1"/>
    <col min="13573" max="13573" width="40.875" style="195" customWidth="1"/>
    <col min="13574" max="13575" width="13.125" style="195" customWidth="1"/>
    <col min="13576" max="13576" width="11.5" style="195" customWidth="1"/>
    <col min="13577" max="13577" width="15.875" style="195" customWidth="1"/>
    <col min="13578" max="13578" width="11.625" style="195" customWidth="1"/>
    <col min="13579" max="13824" width="9" style="195"/>
    <col min="13825" max="13825" width="13.25" style="195" customWidth="1"/>
    <col min="13826" max="13826" width="29" style="195" customWidth="1"/>
    <col min="13827" max="13827" width="26" style="195" customWidth="1"/>
    <col min="13828" max="13828" width="20.25" style="195" customWidth="1"/>
    <col min="13829" max="13829" width="40.875" style="195" customWidth="1"/>
    <col min="13830" max="13831" width="13.125" style="195" customWidth="1"/>
    <col min="13832" max="13832" width="11.5" style="195" customWidth="1"/>
    <col min="13833" max="13833" width="15.875" style="195" customWidth="1"/>
    <col min="13834" max="13834" width="11.625" style="195" customWidth="1"/>
    <col min="13835" max="14080" width="9" style="195"/>
    <col min="14081" max="14081" width="13.25" style="195" customWidth="1"/>
    <col min="14082" max="14082" width="29" style="195" customWidth="1"/>
    <col min="14083" max="14083" width="26" style="195" customWidth="1"/>
    <col min="14084" max="14084" width="20.25" style="195" customWidth="1"/>
    <col min="14085" max="14085" width="40.875" style="195" customWidth="1"/>
    <col min="14086" max="14087" width="13.125" style="195" customWidth="1"/>
    <col min="14088" max="14088" width="11.5" style="195" customWidth="1"/>
    <col min="14089" max="14089" width="15.875" style="195" customWidth="1"/>
    <col min="14090" max="14090" width="11.625" style="195" customWidth="1"/>
    <col min="14091" max="14336" width="9" style="195"/>
    <col min="14337" max="14337" width="13.25" style="195" customWidth="1"/>
    <col min="14338" max="14338" width="29" style="195" customWidth="1"/>
    <col min="14339" max="14339" width="26" style="195" customWidth="1"/>
    <col min="14340" max="14340" width="20.25" style="195" customWidth="1"/>
    <col min="14341" max="14341" width="40.875" style="195" customWidth="1"/>
    <col min="14342" max="14343" width="13.125" style="195" customWidth="1"/>
    <col min="14344" max="14344" width="11.5" style="195" customWidth="1"/>
    <col min="14345" max="14345" width="15.875" style="195" customWidth="1"/>
    <col min="14346" max="14346" width="11.625" style="195" customWidth="1"/>
    <col min="14347" max="14592" width="9" style="195"/>
    <col min="14593" max="14593" width="13.25" style="195" customWidth="1"/>
    <col min="14594" max="14594" width="29" style="195" customWidth="1"/>
    <col min="14595" max="14595" width="26" style="195" customWidth="1"/>
    <col min="14596" max="14596" width="20.25" style="195" customWidth="1"/>
    <col min="14597" max="14597" width="40.875" style="195" customWidth="1"/>
    <col min="14598" max="14599" width="13.125" style="195" customWidth="1"/>
    <col min="14600" max="14600" width="11.5" style="195" customWidth="1"/>
    <col min="14601" max="14601" width="15.875" style="195" customWidth="1"/>
    <col min="14602" max="14602" width="11.625" style="195" customWidth="1"/>
    <col min="14603" max="14848" width="9" style="195"/>
    <col min="14849" max="14849" width="13.25" style="195" customWidth="1"/>
    <col min="14850" max="14850" width="29" style="195" customWidth="1"/>
    <col min="14851" max="14851" width="26" style="195" customWidth="1"/>
    <col min="14852" max="14852" width="20.25" style="195" customWidth="1"/>
    <col min="14853" max="14853" width="40.875" style="195" customWidth="1"/>
    <col min="14854" max="14855" width="13.125" style="195" customWidth="1"/>
    <col min="14856" max="14856" width="11.5" style="195" customWidth="1"/>
    <col min="14857" max="14857" width="15.875" style="195" customWidth="1"/>
    <col min="14858" max="14858" width="11.625" style="195" customWidth="1"/>
    <col min="14859" max="15104" width="9" style="195"/>
    <col min="15105" max="15105" width="13.25" style="195" customWidth="1"/>
    <col min="15106" max="15106" width="29" style="195" customWidth="1"/>
    <col min="15107" max="15107" width="26" style="195" customWidth="1"/>
    <col min="15108" max="15108" width="20.25" style="195" customWidth="1"/>
    <col min="15109" max="15109" width="40.875" style="195" customWidth="1"/>
    <col min="15110" max="15111" width="13.125" style="195" customWidth="1"/>
    <col min="15112" max="15112" width="11.5" style="195" customWidth="1"/>
    <col min="15113" max="15113" width="15.875" style="195" customWidth="1"/>
    <col min="15114" max="15114" width="11.625" style="195" customWidth="1"/>
    <col min="15115" max="15360" width="9" style="195"/>
    <col min="15361" max="15361" width="13.25" style="195" customWidth="1"/>
    <col min="15362" max="15362" width="29" style="195" customWidth="1"/>
    <col min="15363" max="15363" width="26" style="195" customWidth="1"/>
    <col min="15364" max="15364" width="20.25" style="195" customWidth="1"/>
    <col min="15365" max="15365" width="40.875" style="195" customWidth="1"/>
    <col min="15366" max="15367" width="13.125" style="195" customWidth="1"/>
    <col min="15368" max="15368" width="11.5" style="195" customWidth="1"/>
    <col min="15369" max="15369" width="15.875" style="195" customWidth="1"/>
    <col min="15370" max="15370" width="11.625" style="195" customWidth="1"/>
    <col min="15371" max="15616" width="9" style="195"/>
    <col min="15617" max="15617" width="13.25" style="195" customWidth="1"/>
    <col min="15618" max="15618" width="29" style="195" customWidth="1"/>
    <col min="15619" max="15619" width="26" style="195" customWidth="1"/>
    <col min="15620" max="15620" width="20.25" style="195" customWidth="1"/>
    <col min="15621" max="15621" width="40.875" style="195" customWidth="1"/>
    <col min="15622" max="15623" width="13.125" style="195" customWidth="1"/>
    <col min="15624" max="15624" width="11.5" style="195" customWidth="1"/>
    <col min="15625" max="15625" width="15.875" style="195" customWidth="1"/>
    <col min="15626" max="15626" width="11.625" style="195" customWidth="1"/>
    <col min="15627" max="15872" width="9" style="195"/>
    <col min="15873" max="15873" width="13.25" style="195" customWidth="1"/>
    <col min="15874" max="15874" width="29" style="195" customWidth="1"/>
    <col min="15875" max="15875" width="26" style="195" customWidth="1"/>
    <col min="15876" max="15876" width="20.25" style="195" customWidth="1"/>
    <col min="15877" max="15877" width="40.875" style="195" customWidth="1"/>
    <col min="15878" max="15879" width="13.125" style="195" customWidth="1"/>
    <col min="15880" max="15880" width="11.5" style="195" customWidth="1"/>
    <col min="15881" max="15881" width="15.875" style="195" customWidth="1"/>
    <col min="15882" max="15882" width="11.625" style="195" customWidth="1"/>
    <col min="15883" max="16128" width="9" style="195"/>
    <col min="16129" max="16129" width="13.25" style="195" customWidth="1"/>
    <col min="16130" max="16130" width="29" style="195" customWidth="1"/>
    <col min="16131" max="16131" width="26" style="195" customWidth="1"/>
    <col min="16132" max="16132" width="20.25" style="195" customWidth="1"/>
    <col min="16133" max="16133" width="40.875" style="195" customWidth="1"/>
    <col min="16134" max="16135" width="13.125" style="195" customWidth="1"/>
    <col min="16136" max="16136" width="11.5" style="195" customWidth="1"/>
    <col min="16137" max="16137" width="15.875" style="195" customWidth="1"/>
    <col min="16138" max="16138" width="11.625" style="195" customWidth="1"/>
    <col min="16139" max="16384" width="9" style="195"/>
  </cols>
  <sheetData>
    <row r="1" spans="1:10" ht="18.75">
      <c r="A1" s="388" t="s">
        <v>729</v>
      </c>
      <c r="B1" s="389"/>
      <c r="C1" s="389"/>
      <c r="D1" s="389"/>
      <c r="E1" s="389"/>
      <c r="F1" s="389"/>
      <c r="G1" s="389"/>
      <c r="H1" s="389"/>
      <c r="I1" s="195"/>
    </row>
    <row r="2" spans="1:10" ht="20.100000000000001" customHeight="1">
      <c r="A2" s="196" t="s">
        <v>730</v>
      </c>
      <c r="B2" s="196" t="s">
        <v>594</v>
      </c>
      <c r="C2" s="196" t="s">
        <v>2</v>
      </c>
      <c r="D2" s="196" t="s">
        <v>687</v>
      </c>
      <c r="E2" s="196" t="s">
        <v>688</v>
      </c>
      <c r="F2" s="196" t="s">
        <v>689</v>
      </c>
      <c r="G2" s="196" t="s">
        <v>690</v>
      </c>
      <c r="H2" s="197" t="s">
        <v>731</v>
      </c>
    </row>
    <row r="3" spans="1:10" s="204" customFormat="1" ht="20.100000000000001" customHeight="1">
      <c r="A3" s="199" t="s">
        <v>732</v>
      </c>
      <c r="B3" s="200" t="s">
        <v>733</v>
      </c>
      <c r="C3" s="200" t="s">
        <v>734</v>
      </c>
      <c r="D3" s="200" t="s">
        <v>735</v>
      </c>
      <c r="E3" s="200" t="s">
        <v>736</v>
      </c>
      <c r="F3" s="199">
        <v>1</v>
      </c>
      <c r="G3" s="199">
        <v>500000</v>
      </c>
      <c r="H3" s="201">
        <v>500000</v>
      </c>
      <c r="I3" s="202" t="s">
        <v>737</v>
      </c>
      <c r="J3" s="203"/>
    </row>
    <row r="4" spans="1:10" s="204" customFormat="1" ht="20.100000000000001" customHeight="1">
      <c r="A4" s="205" t="s">
        <v>732</v>
      </c>
      <c r="B4" s="206" t="s">
        <v>738</v>
      </c>
      <c r="C4" s="206" t="s">
        <v>739</v>
      </c>
      <c r="D4" s="206" t="s">
        <v>740</v>
      </c>
      <c r="E4" s="206" t="s">
        <v>741</v>
      </c>
      <c r="F4" s="205">
        <v>1</v>
      </c>
      <c r="G4" s="205">
        <v>1000000</v>
      </c>
      <c r="H4" s="207">
        <v>1000000</v>
      </c>
      <c r="I4" s="208" t="s">
        <v>742</v>
      </c>
    </row>
    <row r="5" spans="1:10" s="204" customFormat="1" ht="20.100000000000001" customHeight="1">
      <c r="A5" s="199" t="s">
        <v>732</v>
      </c>
      <c r="B5" s="200" t="s">
        <v>743</v>
      </c>
      <c r="C5" s="200" t="s">
        <v>744</v>
      </c>
      <c r="D5" s="200" t="s">
        <v>745</v>
      </c>
      <c r="E5" s="200" t="s">
        <v>746</v>
      </c>
      <c r="F5" s="199">
        <v>1</v>
      </c>
      <c r="G5" s="199">
        <v>300000</v>
      </c>
      <c r="H5" s="201">
        <v>300000</v>
      </c>
      <c r="I5" s="209" t="s">
        <v>747</v>
      </c>
      <c r="J5" s="210"/>
    </row>
    <row r="6" spans="1:10" s="204" customFormat="1" ht="20.100000000000001" customHeight="1">
      <c r="A6" s="211" t="s">
        <v>567</v>
      </c>
      <c r="B6" s="212"/>
      <c r="C6" s="213"/>
      <c r="D6" s="200"/>
      <c r="E6" s="200"/>
      <c r="F6" s="199"/>
      <c r="G6" s="199"/>
      <c r="H6" s="201">
        <f>SUBTOTAL(9,H3:H5)</f>
        <v>1800000</v>
      </c>
      <c r="I6" s="209"/>
      <c r="J6" s="210"/>
    </row>
  </sheetData>
  <mergeCells count="1">
    <mergeCell ref="A1:H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verticalDpi="0" r:id="rId1"/>
  <headerFooter>
    <oddFooter>第 &amp;P 页，共 &amp;N 页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"/>
  <sheetViews>
    <sheetView workbookViewId="0">
      <selection activeCell="A5" sqref="A5:XFD5"/>
    </sheetView>
  </sheetViews>
  <sheetFormatPr defaultRowHeight="13.5" outlineLevelRow="2"/>
  <cols>
    <col min="1" max="1" width="9.75" style="225" customWidth="1"/>
    <col min="2" max="2" width="12.75" style="225" customWidth="1"/>
    <col min="3" max="3" width="6.625" style="225" customWidth="1"/>
    <col min="4" max="4" width="30" style="225" customWidth="1"/>
    <col min="5" max="5" width="30.5" style="225" customWidth="1"/>
    <col min="6" max="6" width="30" style="225" customWidth="1"/>
    <col min="7" max="7" width="8.875" style="225" customWidth="1"/>
    <col min="8" max="8" width="9" style="225" customWidth="1"/>
    <col min="9" max="9" width="12.75" style="225" customWidth="1"/>
    <col min="10" max="16384" width="9" style="225"/>
  </cols>
  <sheetData>
    <row r="1" spans="1:9" s="215" customFormat="1" ht="30" customHeight="1">
      <c r="A1" s="390" t="s">
        <v>748</v>
      </c>
      <c r="B1" s="390"/>
      <c r="C1" s="390"/>
      <c r="D1" s="390"/>
      <c r="E1" s="390"/>
      <c r="F1" s="390"/>
      <c r="G1" s="390"/>
      <c r="H1" s="390"/>
      <c r="I1" s="390"/>
    </row>
    <row r="2" spans="1:9" s="219" customFormat="1" ht="24.6" customHeight="1">
      <c r="A2" s="216" t="s">
        <v>594</v>
      </c>
      <c r="B2" s="216" t="s">
        <v>556</v>
      </c>
      <c r="C2" s="216" t="s">
        <v>636</v>
      </c>
      <c r="D2" s="216" t="s">
        <v>2</v>
      </c>
      <c r="E2" s="216" t="s">
        <v>687</v>
      </c>
      <c r="F2" s="217" t="s">
        <v>688</v>
      </c>
      <c r="G2" s="216" t="s">
        <v>689</v>
      </c>
      <c r="H2" s="218" t="s">
        <v>690</v>
      </c>
      <c r="I2" s="218" t="s">
        <v>691</v>
      </c>
    </row>
    <row r="3" spans="1:9" s="219" customFormat="1" ht="24.6" customHeight="1" outlineLevel="2">
      <c r="A3" s="220" t="s">
        <v>752</v>
      </c>
      <c r="B3" s="220" t="s">
        <v>555</v>
      </c>
      <c r="C3" s="220" t="s">
        <v>749</v>
      </c>
      <c r="D3" s="221" t="s">
        <v>750</v>
      </c>
      <c r="E3" s="221" t="s">
        <v>750</v>
      </c>
      <c r="F3" s="221" t="s">
        <v>751</v>
      </c>
      <c r="G3" s="222">
        <v>1</v>
      </c>
      <c r="H3" s="223">
        <v>5000</v>
      </c>
      <c r="I3" s="218">
        <f t="shared" ref="I3" si="0">G3*H3</f>
        <v>5000</v>
      </c>
    </row>
    <row r="4" spans="1:9" s="219" customFormat="1" ht="24.6" customHeight="1" outlineLevel="1">
      <c r="A4" s="217"/>
      <c r="B4" s="217" t="s">
        <v>567</v>
      </c>
      <c r="C4" s="217"/>
      <c r="D4" s="224"/>
      <c r="E4" s="224"/>
      <c r="F4" s="224"/>
      <c r="G4" s="216"/>
      <c r="H4" s="218"/>
      <c r="I4" s="218">
        <f>SUBTOTAL(9,I3:I3)</f>
        <v>5000</v>
      </c>
    </row>
    <row r="5" spans="1:9" ht="24.95" customHeight="1"/>
    <row r="6" spans="1:9" ht="24.95" customHeight="1"/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verticalDpi="0" r:id="rId1"/>
  <headerFooter>
    <oddFooter>第 &amp;P 页，共 &amp;N 页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"/>
  <sheetViews>
    <sheetView workbookViewId="0">
      <selection activeCell="A7" sqref="A7:XFD48"/>
    </sheetView>
  </sheetViews>
  <sheetFormatPr defaultRowHeight="13.5" outlineLevelRow="2"/>
  <cols>
    <col min="1" max="1" width="16.75" style="185" customWidth="1"/>
    <col min="2" max="2" width="19.75" style="185" customWidth="1"/>
    <col min="3" max="3" width="17.375" style="185" customWidth="1"/>
    <col min="4" max="4" width="29" style="185" customWidth="1"/>
    <col min="5" max="5" width="9" style="185"/>
    <col min="6" max="6" width="12.625" style="185" customWidth="1"/>
    <col min="7" max="7" width="14.625" style="185" customWidth="1"/>
    <col min="8" max="16384" width="9" style="185"/>
  </cols>
  <sheetData>
    <row r="1" spans="1:7" ht="24" customHeight="1">
      <c r="A1" s="391" t="s">
        <v>894</v>
      </c>
      <c r="B1" s="392"/>
      <c r="C1" s="392"/>
      <c r="D1" s="392"/>
      <c r="E1" s="392"/>
      <c r="F1" s="392"/>
      <c r="G1" s="392"/>
    </row>
    <row r="2" spans="1:7" s="229" customFormat="1" ht="18" customHeight="1">
      <c r="A2" s="226" t="s">
        <v>556</v>
      </c>
      <c r="B2" s="227" t="s">
        <v>594</v>
      </c>
      <c r="C2" s="227" t="s">
        <v>2</v>
      </c>
      <c r="D2" s="227" t="s">
        <v>753</v>
      </c>
      <c r="E2" s="227" t="s">
        <v>689</v>
      </c>
      <c r="F2" s="228" t="s">
        <v>690</v>
      </c>
      <c r="G2" s="228" t="s">
        <v>754</v>
      </c>
    </row>
    <row r="3" spans="1:7" s="229" customFormat="1" ht="18" customHeight="1" outlineLevel="2">
      <c r="A3" s="226" t="s">
        <v>555</v>
      </c>
      <c r="B3" s="230" t="s">
        <v>272</v>
      </c>
      <c r="C3" s="231" t="s">
        <v>755</v>
      </c>
      <c r="D3" s="231" t="s">
        <v>756</v>
      </c>
      <c r="E3" s="232">
        <v>1</v>
      </c>
      <c r="F3" s="233">
        <v>20000</v>
      </c>
      <c r="G3" s="233">
        <f>E3*F3</f>
        <v>20000</v>
      </c>
    </row>
    <row r="4" spans="1:7" s="229" customFormat="1" ht="18" customHeight="1" outlineLevel="2">
      <c r="A4" s="226" t="s">
        <v>555</v>
      </c>
      <c r="B4" s="230" t="s">
        <v>703</v>
      </c>
      <c r="C4" s="231" t="s">
        <v>755</v>
      </c>
      <c r="D4" s="231" t="s">
        <v>756</v>
      </c>
      <c r="E4" s="232">
        <v>1</v>
      </c>
      <c r="F4" s="233">
        <v>20000</v>
      </c>
      <c r="G4" s="233">
        <f>E4*F4</f>
        <v>20000</v>
      </c>
    </row>
    <row r="5" spans="1:7" s="229" customFormat="1" ht="18" customHeight="1" outlineLevel="2">
      <c r="A5" s="226" t="s">
        <v>555</v>
      </c>
      <c r="B5" s="230" t="s">
        <v>757</v>
      </c>
      <c r="C5" s="231" t="s">
        <v>755</v>
      </c>
      <c r="D5" s="231" t="s">
        <v>758</v>
      </c>
      <c r="E5" s="234">
        <v>1</v>
      </c>
      <c r="F5" s="234">
        <v>20000</v>
      </c>
      <c r="G5" s="234">
        <f>E5*F5</f>
        <v>20000</v>
      </c>
    </row>
    <row r="6" spans="1:7" s="229" customFormat="1" ht="18" customHeight="1" outlineLevel="1">
      <c r="A6" s="235" t="s">
        <v>567</v>
      </c>
      <c r="B6" s="230"/>
      <c r="C6" s="231"/>
      <c r="D6" s="231"/>
      <c r="E6" s="234"/>
      <c r="F6" s="234"/>
      <c r="G6" s="234">
        <f>SUBTOTAL(9,G3:G5)</f>
        <v>60000</v>
      </c>
    </row>
  </sheetData>
  <mergeCells count="1">
    <mergeCell ref="A1:G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6"/>
  <sheetViews>
    <sheetView workbookViewId="0">
      <selection activeCell="A7" sqref="A7:XFD46"/>
    </sheetView>
  </sheetViews>
  <sheetFormatPr defaultColWidth="9" defaultRowHeight="12"/>
  <cols>
    <col min="1" max="1" width="7" style="267" customWidth="1"/>
    <col min="2" max="2" width="19" style="284" customWidth="1"/>
    <col min="3" max="3" width="12.5" style="285" customWidth="1"/>
    <col min="4" max="4" width="30.25" style="285" customWidth="1"/>
    <col min="5" max="5" width="10.25" style="284" hidden="1" customWidth="1"/>
    <col min="6" max="6" width="11.125" style="286" hidden="1" customWidth="1"/>
    <col min="7" max="7" width="10.375" style="267" hidden="1" customWidth="1"/>
    <col min="8" max="8" width="11.125" style="267" hidden="1" customWidth="1"/>
    <col min="9" max="19" width="8.875" style="267" hidden="1" customWidth="1"/>
    <col min="20" max="20" width="16.125" style="267" hidden="1" customWidth="1"/>
    <col min="21" max="25" width="8.875" style="267" hidden="1" customWidth="1"/>
    <col min="26" max="26" width="10.75" style="267" hidden="1" customWidth="1"/>
    <col min="27" max="27" width="9.75" style="267" hidden="1" customWidth="1"/>
    <col min="28" max="28" width="10.125" style="267" hidden="1" customWidth="1"/>
    <col min="29" max="29" width="11" style="267" hidden="1" customWidth="1"/>
    <col min="30" max="30" width="9.5" style="267" hidden="1" customWidth="1"/>
    <col min="31" max="31" width="11.25" style="267" hidden="1" customWidth="1"/>
    <col min="32" max="32" width="10.375" style="267" hidden="1" customWidth="1"/>
    <col min="33" max="33" width="11.875" style="267" hidden="1" customWidth="1"/>
    <col min="34" max="35" width="0" style="267" hidden="1" customWidth="1"/>
    <col min="36" max="36" width="13.125" style="267" customWidth="1"/>
    <col min="37" max="16384" width="9" style="267"/>
  </cols>
  <sheetData>
    <row r="1" spans="1:36" ht="20.25">
      <c r="A1" s="393" t="s">
        <v>895</v>
      </c>
      <c r="B1" s="384"/>
      <c r="C1" s="384"/>
      <c r="D1" s="384"/>
      <c r="E1" s="384"/>
      <c r="F1" s="384"/>
      <c r="G1" s="384"/>
      <c r="H1" s="384"/>
      <c r="I1" s="384"/>
      <c r="J1" s="384"/>
      <c r="K1" s="384"/>
      <c r="L1" s="384"/>
      <c r="M1" s="384"/>
      <c r="N1" s="384"/>
      <c r="O1" s="384"/>
      <c r="P1" s="384"/>
      <c r="Q1" s="384"/>
      <c r="R1" s="384"/>
      <c r="S1" s="384"/>
      <c r="T1" s="384"/>
      <c r="U1" s="384"/>
      <c r="V1" s="384"/>
      <c r="W1" s="384"/>
      <c r="X1" s="384"/>
      <c r="Y1" s="384"/>
      <c r="Z1" s="384"/>
      <c r="AA1" s="384"/>
      <c r="AB1" s="384"/>
      <c r="AC1" s="384"/>
      <c r="AD1" s="384"/>
      <c r="AE1" s="384"/>
      <c r="AF1" s="384"/>
      <c r="AG1" s="384"/>
      <c r="AH1" s="384"/>
      <c r="AI1" s="384"/>
      <c r="AJ1" s="384"/>
    </row>
    <row r="2" spans="1:36">
      <c r="A2" s="268" t="s">
        <v>896</v>
      </c>
      <c r="B2" s="268" t="s">
        <v>593</v>
      </c>
      <c r="C2" s="268" t="s">
        <v>897</v>
      </c>
      <c r="D2" s="269" t="s">
        <v>898</v>
      </c>
      <c r="E2" s="270" t="s">
        <v>899</v>
      </c>
      <c r="F2" s="271" t="s">
        <v>900</v>
      </c>
      <c r="G2" s="269" t="s">
        <v>901</v>
      </c>
      <c r="H2" s="269" t="s">
        <v>902</v>
      </c>
      <c r="I2" s="394" t="s">
        <v>903</v>
      </c>
      <c r="J2" s="394"/>
      <c r="K2" s="394"/>
      <c r="L2" s="394" t="s">
        <v>904</v>
      </c>
      <c r="M2" s="394"/>
      <c r="N2" s="394"/>
      <c r="O2" s="394" t="s">
        <v>905</v>
      </c>
      <c r="P2" s="394"/>
      <c r="Q2" s="394"/>
      <c r="R2" s="394" t="s">
        <v>906</v>
      </c>
      <c r="S2" s="394"/>
      <c r="T2" s="394"/>
      <c r="U2" s="394" t="s">
        <v>907</v>
      </c>
      <c r="V2" s="394"/>
      <c r="W2" s="394"/>
      <c r="X2" s="394" t="s">
        <v>908</v>
      </c>
      <c r="Y2" s="394"/>
      <c r="Z2" s="272" t="s">
        <v>909</v>
      </c>
      <c r="AA2" s="272" t="s">
        <v>910</v>
      </c>
      <c r="AB2" s="272" t="s">
        <v>911</v>
      </c>
      <c r="AC2" s="272" t="s">
        <v>912</v>
      </c>
      <c r="AD2" s="270" t="s">
        <v>913</v>
      </c>
      <c r="AE2" s="273" t="s">
        <v>914</v>
      </c>
      <c r="AF2" s="274" t="s">
        <v>915</v>
      </c>
      <c r="AG2" s="270" t="s">
        <v>916</v>
      </c>
      <c r="AH2" s="268" t="s">
        <v>917</v>
      </c>
      <c r="AI2" s="270" t="s">
        <v>918</v>
      </c>
      <c r="AJ2" s="270" t="s">
        <v>919</v>
      </c>
    </row>
    <row r="3" spans="1:36" ht="12.75">
      <c r="A3" s="268">
        <v>1</v>
      </c>
      <c r="B3" s="268" t="s">
        <v>542</v>
      </c>
      <c r="C3" s="275" t="s">
        <v>379</v>
      </c>
      <c r="D3" s="276" t="s">
        <v>378</v>
      </c>
      <c r="E3" s="268"/>
      <c r="F3" s="268"/>
      <c r="G3" s="268">
        <f>SUM(I3+L3+O3+R3+U3+X3)</f>
        <v>27</v>
      </c>
      <c r="H3" s="268">
        <f>SUM(J3,M3,P3,S3,V3,Y3)</f>
        <v>961</v>
      </c>
      <c r="I3" s="268">
        <v>6</v>
      </c>
      <c r="J3" s="268">
        <v>225</v>
      </c>
      <c r="K3" s="277">
        <f>J3/I3</f>
        <v>37.5</v>
      </c>
      <c r="L3" s="268">
        <v>6</v>
      </c>
      <c r="M3" s="268">
        <v>200</v>
      </c>
      <c r="N3" s="277">
        <f>M3/L3</f>
        <v>33.333333333333336</v>
      </c>
      <c r="O3" s="268">
        <v>5</v>
      </c>
      <c r="P3" s="268">
        <v>191</v>
      </c>
      <c r="Q3" s="277">
        <f>P3/O3</f>
        <v>38.200000000000003</v>
      </c>
      <c r="R3" s="268">
        <v>5</v>
      </c>
      <c r="S3" s="268">
        <v>168</v>
      </c>
      <c r="T3" s="277">
        <f>S3/R3</f>
        <v>33.6</v>
      </c>
      <c r="U3" s="268">
        <v>5</v>
      </c>
      <c r="V3" s="268">
        <v>177</v>
      </c>
      <c r="W3" s="277">
        <f>V3/U3</f>
        <v>35.4</v>
      </c>
      <c r="X3" s="268"/>
      <c r="Y3" s="268"/>
      <c r="Z3" s="268"/>
      <c r="AA3" s="268"/>
      <c r="AB3" s="268"/>
      <c r="AC3" s="278"/>
      <c r="AD3" s="278">
        <f>F3+H3+AA3+AC3</f>
        <v>961</v>
      </c>
      <c r="AE3" s="278">
        <f>[2]教职工数!C57</f>
        <v>76</v>
      </c>
      <c r="AF3" s="278"/>
      <c r="AG3" s="279">
        <v>8212500</v>
      </c>
      <c r="AH3" s="280"/>
      <c r="AI3" s="280">
        <v>1</v>
      </c>
      <c r="AJ3" s="281">
        <v>334798</v>
      </c>
    </row>
    <row r="4" spans="1:36" ht="12.75">
      <c r="A4" s="268">
        <v>2</v>
      </c>
      <c r="B4" s="268" t="s">
        <v>542</v>
      </c>
      <c r="C4" s="275" t="s">
        <v>920</v>
      </c>
      <c r="D4" s="276" t="s">
        <v>372</v>
      </c>
      <c r="E4" s="268"/>
      <c r="F4" s="268"/>
      <c r="G4" s="268"/>
      <c r="H4" s="268"/>
      <c r="I4" s="268"/>
      <c r="J4" s="268"/>
      <c r="K4" s="282"/>
      <c r="L4" s="268"/>
      <c r="M4" s="268"/>
      <c r="N4" s="282"/>
      <c r="O4" s="268"/>
      <c r="P4" s="268"/>
      <c r="Q4" s="282"/>
      <c r="R4" s="268"/>
      <c r="S4" s="268"/>
      <c r="T4" s="282"/>
      <c r="U4" s="268"/>
      <c r="V4" s="268"/>
      <c r="W4" s="282"/>
      <c r="X4" s="268"/>
      <c r="Y4" s="268"/>
      <c r="Z4" s="268">
        <f>[2]中学学生数统计!Q5</f>
        <v>23</v>
      </c>
      <c r="AA4" s="268">
        <f>[2]中学学生数统计!R5</f>
        <v>443</v>
      </c>
      <c r="AB4" s="268"/>
      <c r="AC4" s="278"/>
      <c r="AD4" s="278">
        <f t="shared" ref="AD4:AD5" si="0">F4+H4+AA4+AC4</f>
        <v>443</v>
      </c>
      <c r="AE4" s="278">
        <f>[2]教职工数!C4</f>
        <v>89</v>
      </c>
      <c r="AF4" s="278"/>
      <c r="AG4" s="279">
        <v>10647762</v>
      </c>
      <c r="AH4" s="280"/>
      <c r="AI4" s="280">
        <v>1</v>
      </c>
      <c r="AJ4" s="281">
        <v>111834</v>
      </c>
    </row>
    <row r="5" spans="1:36" ht="12.75">
      <c r="A5" s="268">
        <v>3</v>
      </c>
      <c r="B5" s="268" t="s">
        <v>542</v>
      </c>
      <c r="C5" s="275" t="s">
        <v>921</v>
      </c>
      <c r="D5" s="276" t="s">
        <v>376</v>
      </c>
      <c r="E5" s="268"/>
      <c r="F5" s="268"/>
      <c r="G5" s="268">
        <f>SUM(I5+L5+O5+R5+U5+X5)</f>
        <v>20</v>
      </c>
      <c r="H5" s="268">
        <f>SUM(J5,M5,P5,S5,V5,Y5)</f>
        <v>773</v>
      </c>
      <c r="I5" s="268">
        <v>4</v>
      </c>
      <c r="J5" s="268">
        <v>166</v>
      </c>
      <c r="K5" s="282">
        <f>J5/I5</f>
        <v>41.5</v>
      </c>
      <c r="L5" s="268">
        <v>4</v>
      </c>
      <c r="M5" s="268">
        <v>148</v>
      </c>
      <c r="N5" s="282">
        <f>M5/L5</f>
        <v>37</v>
      </c>
      <c r="O5" s="268">
        <v>4</v>
      </c>
      <c r="P5" s="268">
        <v>152</v>
      </c>
      <c r="Q5" s="282">
        <f>P5/O5</f>
        <v>38</v>
      </c>
      <c r="R5" s="268">
        <v>4</v>
      </c>
      <c r="S5" s="268">
        <v>162</v>
      </c>
      <c r="T5" s="282">
        <f>S5/R5</f>
        <v>40.5</v>
      </c>
      <c r="U5" s="268">
        <v>4</v>
      </c>
      <c r="V5" s="268">
        <v>145</v>
      </c>
      <c r="W5" s="282">
        <f>V5/U5</f>
        <v>36.25</v>
      </c>
      <c r="X5" s="268"/>
      <c r="Y5" s="268"/>
      <c r="Z5" s="268">
        <f>[2]中学学生数统计!Q58</f>
        <v>16</v>
      </c>
      <c r="AA5" s="268">
        <f>[2]中学学生数统计!R58</f>
        <v>370</v>
      </c>
      <c r="AB5" s="268"/>
      <c r="AC5" s="278"/>
      <c r="AD5" s="278">
        <f t="shared" si="0"/>
        <v>1143</v>
      </c>
      <c r="AE5" s="278">
        <f>[2]教职工数!C45</f>
        <v>124</v>
      </c>
      <c r="AF5" s="278"/>
      <c r="AG5" s="279">
        <v>13747000</v>
      </c>
      <c r="AH5" s="280"/>
      <c r="AI5" s="280">
        <v>1</v>
      </c>
      <c r="AJ5" s="281">
        <v>160848</v>
      </c>
    </row>
    <row r="6" spans="1:36" ht="12.75">
      <c r="A6" s="268"/>
      <c r="B6" s="283" t="s">
        <v>567</v>
      </c>
      <c r="C6" s="275"/>
      <c r="D6" s="276"/>
      <c r="E6" s="268"/>
      <c r="F6" s="268"/>
      <c r="G6" s="268"/>
      <c r="H6" s="268"/>
      <c r="I6" s="268"/>
      <c r="J6" s="268"/>
      <c r="K6" s="282"/>
      <c r="L6" s="268"/>
      <c r="M6" s="268"/>
      <c r="N6" s="282"/>
      <c r="O6" s="268"/>
      <c r="P6" s="268"/>
      <c r="Q6" s="282"/>
      <c r="R6" s="268"/>
      <c r="S6" s="268"/>
      <c r="T6" s="282"/>
      <c r="U6" s="268"/>
      <c r="V6" s="268"/>
      <c r="W6" s="282"/>
      <c r="X6" s="268"/>
      <c r="Y6" s="268"/>
      <c r="Z6" s="268"/>
      <c r="AA6" s="268"/>
      <c r="AB6" s="268"/>
      <c r="AC6" s="278"/>
      <c r="AD6" s="278"/>
      <c r="AE6" s="278"/>
      <c r="AF6" s="278"/>
      <c r="AG6" s="279"/>
      <c r="AH6" s="280"/>
      <c r="AI6" s="280"/>
      <c r="AJ6" s="281">
        <f>SUBTOTAL(9,AJ3:AJ5)</f>
        <v>607480</v>
      </c>
    </row>
  </sheetData>
  <mergeCells count="7">
    <mergeCell ref="A1:AJ1"/>
    <mergeCell ref="I2:K2"/>
    <mergeCell ref="L2:N2"/>
    <mergeCell ref="O2:Q2"/>
    <mergeCell ref="R2:T2"/>
    <mergeCell ref="U2:W2"/>
    <mergeCell ref="X2:Y2"/>
  </mergeCells>
  <phoneticPr fontId="3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26</vt:i4>
      </vt:variant>
      <vt:variant>
        <vt:lpstr>命名范围</vt:lpstr>
      </vt:variant>
      <vt:variant>
        <vt:i4>21</vt:i4>
      </vt:variant>
    </vt:vector>
  </HeadingPairs>
  <TitlesOfParts>
    <vt:vector size="47" baseType="lpstr">
      <vt:lpstr>基本支出汇总</vt:lpstr>
      <vt:lpstr>2022年绩效清算</vt:lpstr>
      <vt:lpstr>莘庄镇</vt:lpstr>
      <vt:lpstr>吴泾镇</vt:lpstr>
      <vt:lpstr>七宝镇</vt:lpstr>
      <vt:lpstr>浦江镇</vt:lpstr>
      <vt:lpstr>梅陇镇</vt:lpstr>
      <vt:lpstr>马桥镇</vt:lpstr>
      <vt:lpstr>华漕镇</vt:lpstr>
      <vt:lpstr>颛桥镇</vt:lpstr>
      <vt:lpstr>虹桥镇</vt:lpstr>
      <vt:lpstr>2023绩效预估</vt:lpstr>
      <vt:lpstr>保安经费</vt:lpstr>
      <vt:lpstr>残疾就业保障</vt:lpstr>
      <vt:lpstr>补充公用经费</vt:lpstr>
      <vt:lpstr>虹桥镇汇总</vt:lpstr>
      <vt:lpstr>设备购置与更新</vt:lpstr>
      <vt:lpstr>理化实验室</vt:lpstr>
      <vt:lpstr>虹桥维修2023</vt:lpstr>
      <vt:lpstr>2022年校舍维修尾款</vt:lpstr>
      <vt:lpstr>学前科</vt:lpstr>
      <vt:lpstr>普教一科</vt:lpstr>
      <vt:lpstr>普教二科</vt:lpstr>
      <vt:lpstr>考试中心</vt:lpstr>
      <vt:lpstr>教育学院</vt:lpstr>
      <vt:lpstr>抚恤金</vt:lpstr>
      <vt:lpstr>'2022年绩效清算'!Print_Area</vt:lpstr>
      <vt:lpstr>'2022年校舍维修尾款'!Print_Area</vt:lpstr>
      <vt:lpstr>虹桥维修2023!Print_Area</vt:lpstr>
      <vt:lpstr>教育学院!Print_Area</vt:lpstr>
      <vt:lpstr>考试中心!Print_Area</vt:lpstr>
      <vt:lpstr>理化实验室!Print_Area</vt:lpstr>
      <vt:lpstr>浦江镇!Print_Area</vt:lpstr>
      <vt:lpstr>普教二科!Print_Area</vt:lpstr>
      <vt:lpstr>普教一科!Print_Area</vt:lpstr>
      <vt:lpstr>设备购置与更新!Print_Area</vt:lpstr>
      <vt:lpstr>学前科!Print_Area</vt:lpstr>
      <vt:lpstr>'2022年绩效清算'!Print_Titles</vt:lpstr>
      <vt:lpstr>虹桥维修2023!Print_Titles</vt:lpstr>
      <vt:lpstr>教育学院!Print_Titles</vt:lpstr>
      <vt:lpstr>考试中心!Print_Titles</vt:lpstr>
      <vt:lpstr>理化实验室!Print_Titles</vt:lpstr>
      <vt:lpstr>浦江镇!Print_Titles</vt:lpstr>
      <vt:lpstr>普教二科!Print_Titles</vt:lpstr>
      <vt:lpstr>普教一科!Print_Titles</vt:lpstr>
      <vt:lpstr>设备购置与更新!Print_Titles</vt:lpstr>
      <vt:lpstr>学前科!Print_Titles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孟爱红</dc:creator>
  <cp:lastModifiedBy>黄雅雯</cp:lastModifiedBy>
  <cp:lastPrinted>2023-04-24T01:41:27Z</cp:lastPrinted>
  <dcterms:created xsi:type="dcterms:W3CDTF">2022-11-10T02:18:00Z</dcterms:created>
  <dcterms:modified xsi:type="dcterms:W3CDTF">2023-05-10T06:50:57Z</dcterms:modified>
</cp:coreProperties>
</file>