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颛桥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颛桥基本支出调整" sheetId="58" state="hidden" r:id="rId42"/>
    <sheet name="2023年绩效预估" sheetId="66" state="hidden" r:id="rId43"/>
    <sheet name="2023尾款清算" sheetId="65" state="hidden" r:id="rId44"/>
    <sheet name="补充公用经费调整" sheetId="62" state="hidden" r:id="rId45"/>
    <sheet name="抚恤金调整" sheetId="60" state="hidden" r:id="rId46"/>
    <sheet name="储备教师" sheetId="50" state="hidden" r:id="rId47"/>
    <sheet name="残疾就业保障调整" sheetId="61" state="hidden" r:id="rId48"/>
    <sheet name="追加设备" sheetId="45" state="hidden" r:id="rId49"/>
    <sheet name="普教一科追加" sheetId="46" state="hidden" r:id="rId50"/>
    <sheet name="普教二科追加" sheetId="47" state="hidden" r:id="rId51"/>
    <sheet name="未开办学校物业管理（区级代管）" sheetId="49" state="hidden" r:id="rId52"/>
  </sheets>
  <externalReferences>
    <externalReference r:id="rId53"/>
    <externalReference r:id="rId54"/>
    <externalReference r:id="rId55"/>
    <externalReference r:id="rId56"/>
  </externalReferences>
  <definedNames>
    <definedName name="_xlnm._FilterDatabase" localSheetId="12" hidden="1">'2023绩效预估'!$A$2:$H$126</definedName>
    <definedName name="_xlnm._FilterDatabase" localSheetId="44" hidden="1">补充公用经费调整!$B$2:$AV$18</definedName>
    <definedName name="_xlnm._FilterDatabase" localSheetId="48" hidden="1">追加设备!$A$2:$J$17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'2023年绩效预估'!$A$1:$J$18</definedName>
    <definedName name="_xlnm.Print_Area" localSheetId="43">'2023尾款清算'!$A$1:$K$4</definedName>
    <definedName name="_xlnm.Print_Area" localSheetId="40">补充公用经费补!$A$1:$AQ$119</definedName>
    <definedName name="_xlnm.Print_Area" localSheetId="44">补充公用经费调整!$A$1:$AW$18</definedName>
    <definedName name="_xlnm.Print_Area" localSheetId="47">残疾就业保障调整!$A$1:$E$18</definedName>
    <definedName name="_xlnm.Print_Area" localSheetId="46">储备教师!$A$1:$I$10</definedName>
    <definedName name="_xlnm.Print_Area" localSheetId="45">抚恤金调整!$A$1:$F$7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0">普教二科追加!$A$1:$I$7</definedName>
    <definedName name="_xlnm.Print_Area" localSheetId="28">普教一科!$A$1:$G$110</definedName>
    <definedName name="_xlnm.Print_Area" localSheetId="49">普教一科追加!$A$1:$I$7</definedName>
    <definedName name="_xlnm.Print_Area" localSheetId="19">七宝维修2023!$A$1:$J$159</definedName>
    <definedName name="_xlnm.Print_Area" localSheetId="16">设备购置与更新!$A$1:$L$69</definedName>
    <definedName name="_xlnm.Print_Area" localSheetId="51">'未开办学校物业管理（区级代管）'!$A$1:$O$4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41">颛桥基本支出调整!$A$1:$V$78</definedName>
    <definedName name="_xlnm.Print_Area" localSheetId="24">颛桥维修2023!$A$1:$J$53</definedName>
    <definedName name="_xlnm.Print_Area" localSheetId="48">追加设备!$A$1:$J$17</definedName>
    <definedName name="_xlnm.Print_Titles" localSheetId="2">'2022年绩效清算'!$1:$3</definedName>
    <definedName name="_xlnm.Print_Titles" localSheetId="42">'2023年绩效预估'!$1:$2</definedName>
    <definedName name="_xlnm.Print_Titles" localSheetId="40">补充公用经费补!$1:$3</definedName>
    <definedName name="_xlnm.Print_Titles" localSheetId="44">补充公用经费调整!$1:$3</definedName>
    <definedName name="_xlnm.Print_Titles" localSheetId="47">残疾就业保障调整!$1:$2</definedName>
    <definedName name="_xlnm.Print_Titles" localSheetId="46">储备教师!$1:$2</definedName>
    <definedName name="_xlnm.Print_Titles" localSheetId="45">抚恤金调整!$1:$2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0">普教二科追加!$1:$2</definedName>
    <definedName name="_xlnm.Print_Titles" localSheetId="28">普教一科!$1:$2</definedName>
    <definedName name="_xlnm.Print_Titles" localSheetId="49">普教一科追加!$1:$2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41">颛桥基本支出调整!$1:$2</definedName>
    <definedName name="_xlnm.Print_Titles" localSheetId="24">颛桥维修2023!$1:$2</definedName>
    <definedName name="_xlnm.Print_Titles" localSheetId="48">追加设备!$1:$3</definedName>
  </definedNames>
  <calcPr calcId="124519"/>
</workbook>
</file>

<file path=xl/calcChain.xml><?xml version="1.0" encoding="utf-8"?>
<calcChain xmlns="http://schemas.openxmlformats.org/spreadsheetml/2006/main">
  <c r="D17" i="67"/>
  <c r="C16"/>
  <c r="D16" s="1"/>
  <c r="C15"/>
  <c r="C14"/>
  <c r="E14" s="1"/>
  <c r="C13"/>
  <c r="E13" s="1"/>
  <c r="C12"/>
  <c r="C11"/>
  <c r="C10"/>
  <c r="E10" s="1"/>
  <c r="C9"/>
  <c r="E9" s="1"/>
  <c r="C8"/>
  <c r="G3" i="66"/>
  <c r="J3"/>
  <c r="G4"/>
  <c r="J4" s="1"/>
  <c r="G5"/>
  <c r="J5"/>
  <c r="G6"/>
  <c r="J6" s="1"/>
  <c r="G7"/>
  <c r="J7" s="1"/>
  <c r="G8"/>
  <c r="J8" s="1"/>
  <c r="G9"/>
  <c r="J9" s="1"/>
  <c r="G10"/>
  <c r="J10" s="1"/>
  <c r="G11"/>
  <c r="J11"/>
  <c r="G12"/>
  <c r="J12" s="1"/>
  <c r="G13"/>
  <c r="J13"/>
  <c r="G14"/>
  <c r="J14" s="1"/>
  <c r="G15"/>
  <c r="J15" s="1"/>
  <c r="G16"/>
  <c r="J16" s="1"/>
  <c r="G17"/>
  <c r="J17" s="1"/>
  <c r="E18"/>
  <c r="G18" s="1"/>
  <c r="F18"/>
  <c r="D15" i="67"/>
  <c r="E12"/>
  <c r="E11"/>
  <c r="E8"/>
  <c r="E7"/>
  <c r="E15" l="1"/>
  <c r="J18" i="66"/>
  <c r="E16" i="67"/>
  <c r="AQ10" i="62" l="1"/>
  <c r="AQ15"/>
  <c r="AQ9" l="1"/>
  <c r="H3" i="65" l="1"/>
  <c r="J3" s="1"/>
  <c r="J4" s="1"/>
  <c r="AW18" i="62"/>
  <c r="D7" i="60"/>
  <c r="F7"/>
  <c r="H10" i="50" l="1"/>
  <c r="I10"/>
  <c r="AM18" i="62" l="1"/>
  <c r="AN18"/>
  <c r="AO18"/>
  <c r="AQ18"/>
  <c r="AD4"/>
  <c r="AD5"/>
  <c r="AD6"/>
  <c r="AD7"/>
  <c r="AD8"/>
  <c r="AD9"/>
  <c r="AD10"/>
  <c r="AD11"/>
  <c r="AD12"/>
  <c r="AD13"/>
  <c r="AD14"/>
  <c r="AD15"/>
  <c r="AD16"/>
  <c r="AD17"/>
  <c r="AD18" l="1"/>
  <c r="AT18" l="1"/>
  <c r="AU18"/>
  <c r="AJ4" l="1"/>
  <c r="AJ5"/>
  <c r="AJ6"/>
  <c r="AJ7"/>
  <c r="AJ8"/>
  <c r="AJ9"/>
  <c r="AJ10"/>
  <c r="AJ11"/>
  <c r="AJ12"/>
  <c r="AJ13"/>
  <c r="AJ14"/>
  <c r="AJ15"/>
  <c r="AJ16"/>
  <c r="AJ17"/>
  <c r="AB18"/>
  <c r="AA18"/>
  <c r="Z18"/>
  <c r="Y18"/>
  <c r="W18"/>
  <c r="V18"/>
  <c r="U18"/>
  <c r="T18"/>
  <c r="M18"/>
  <c r="L18"/>
  <c r="K18"/>
  <c r="J18"/>
  <c r="H18"/>
  <c r="G18"/>
  <c r="F18"/>
  <c r="E18"/>
  <c r="D18"/>
  <c r="AC17"/>
  <c r="AR17" s="1"/>
  <c r="X17"/>
  <c r="R17"/>
  <c r="Q17"/>
  <c r="P17"/>
  <c r="O17"/>
  <c r="N17"/>
  <c r="I17"/>
  <c r="AC16"/>
  <c r="AR16" s="1"/>
  <c r="X16"/>
  <c r="R16"/>
  <c r="Q16"/>
  <c r="P16"/>
  <c r="O16"/>
  <c r="N16"/>
  <c r="I16"/>
  <c r="AC15"/>
  <c r="AR15" s="1"/>
  <c r="X15"/>
  <c r="R15"/>
  <c r="Q15"/>
  <c r="P15"/>
  <c r="O15"/>
  <c r="N15"/>
  <c r="I15"/>
  <c r="AC14"/>
  <c r="AR14" s="1"/>
  <c r="X14"/>
  <c r="R14"/>
  <c r="Q14"/>
  <c r="P14"/>
  <c r="O14"/>
  <c r="N14"/>
  <c r="I14"/>
  <c r="AC13"/>
  <c r="AR13" s="1"/>
  <c r="X13"/>
  <c r="R13"/>
  <c r="Q13"/>
  <c r="P13"/>
  <c r="O13"/>
  <c r="N13"/>
  <c r="I13"/>
  <c r="AC12"/>
  <c r="AR12" s="1"/>
  <c r="X12"/>
  <c r="R12"/>
  <c r="Q12"/>
  <c r="P12"/>
  <c r="O12"/>
  <c r="N12"/>
  <c r="I12"/>
  <c r="AC11"/>
  <c r="AR11" s="1"/>
  <c r="X11"/>
  <c r="R11"/>
  <c r="Q11"/>
  <c r="P11"/>
  <c r="O11"/>
  <c r="N11"/>
  <c r="I11"/>
  <c r="AC10"/>
  <c r="AR10" s="1"/>
  <c r="X10"/>
  <c r="R10"/>
  <c r="Q10"/>
  <c r="P10"/>
  <c r="O10"/>
  <c r="N10"/>
  <c r="I10"/>
  <c r="AC9"/>
  <c r="AR9" s="1"/>
  <c r="X9"/>
  <c r="R9"/>
  <c r="Q9"/>
  <c r="P9"/>
  <c r="O9"/>
  <c r="N9"/>
  <c r="I9"/>
  <c r="AC8"/>
  <c r="AR8" s="1"/>
  <c r="X8"/>
  <c r="R8"/>
  <c r="Q8"/>
  <c r="P8"/>
  <c r="O8"/>
  <c r="N8"/>
  <c r="I8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X4"/>
  <c r="R4"/>
  <c r="Q4"/>
  <c r="P4"/>
  <c r="O4"/>
  <c r="N4"/>
  <c r="I4"/>
  <c r="AR18" l="1"/>
  <c r="AJ18"/>
  <c r="AG4"/>
  <c r="AH5"/>
  <c r="AS5"/>
  <c r="AV5" s="1"/>
  <c r="AI6"/>
  <c r="AS6"/>
  <c r="AV6" s="1"/>
  <c r="AK7"/>
  <c r="AS7"/>
  <c r="AV7" s="1"/>
  <c r="AG8"/>
  <c r="AS8"/>
  <c r="AV8" s="1"/>
  <c r="AH9"/>
  <c r="AS9"/>
  <c r="AV9" s="1"/>
  <c r="AI10"/>
  <c r="AS10"/>
  <c r="AV10" s="1"/>
  <c r="AK11"/>
  <c r="AS11"/>
  <c r="AV11" s="1"/>
  <c r="AG12"/>
  <c r="AS12"/>
  <c r="AV12" s="1"/>
  <c r="AH13"/>
  <c r="AS13"/>
  <c r="AV13" s="1"/>
  <c r="AI14"/>
  <c r="AS14"/>
  <c r="AV14" s="1"/>
  <c r="AK15"/>
  <c r="AS15"/>
  <c r="AV15" s="1"/>
  <c r="AG16"/>
  <c r="AS16"/>
  <c r="AV16" s="1"/>
  <c r="AH17"/>
  <c r="AS17"/>
  <c r="AV17" s="1"/>
  <c r="AE15"/>
  <c r="AE11"/>
  <c r="AE7"/>
  <c r="AF16"/>
  <c r="AF12"/>
  <c r="AF8"/>
  <c r="AF4"/>
  <c r="AG17"/>
  <c r="AG13"/>
  <c r="AG9"/>
  <c r="AG5"/>
  <c r="AH14"/>
  <c r="AH10"/>
  <c r="AL10" s="1"/>
  <c r="AH6"/>
  <c r="AI15"/>
  <c r="AI11"/>
  <c r="AI7"/>
  <c r="AK16"/>
  <c r="AK12"/>
  <c r="AK8"/>
  <c r="AK4"/>
  <c r="AE16"/>
  <c r="AE12"/>
  <c r="AE8"/>
  <c r="AE4"/>
  <c r="AF17"/>
  <c r="AF13"/>
  <c r="AF9"/>
  <c r="AF5"/>
  <c r="AG14"/>
  <c r="AG10"/>
  <c r="AG6"/>
  <c r="AH15"/>
  <c r="AH11"/>
  <c r="AH7"/>
  <c r="AI16"/>
  <c r="AI12"/>
  <c r="AI8"/>
  <c r="AI4"/>
  <c r="AK17"/>
  <c r="AK13"/>
  <c r="AK9"/>
  <c r="AK5"/>
  <c r="AE17"/>
  <c r="AE13"/>
  <c r="AE9"/>
  <c r="AE5"/>
  <c r="AF14"/>
  <c r="AF10"/>
  <c r="AF6"/>
  <c r="AG15"/>
  <c r="AG11"/>
  <c r="AG7"/>
  <c r="AH16"/>
  <c r="AH12"/>
  <c r="AH8"/>
  <c r="AH4"/>
  <c r="AI17"/>
  <c r="AI13"/>
  <c r="AI9"/>
  <c r="AL9" s="1"/>
  <c r="AI5"/>
  <c r="AK14"/>
  <c r="AK10"/>
  <c r="AK6"/>
  <c r="AE14"/>
  <c r="AE10"/>
  <c r="AE6"/>
  <c r="AF15"/>
  <c r="AF11"/>
  <c r="AF7"/>
  <c r="X18"/>
  <c r="P18"/>
  <c r="S5"/>
  <c r="S8"/>
  <c r="S9"/>
  <c r="S12"/>
  <c r="S13"/>
  <c r="S16"/>
  <c r="S17"/>
  <c r="N18"/>
  <c r="R18"/>
  <c r="S6"/>
  <c r="S7"/>
  <c r="S10"/>
  <c r="I18"/>
  <c r="Q18"/>
  <c r="S4"/>
  <c r="S11"/>
  <c r="S14"/>
  <c r="S15"/>
  <c r="O18"/>
  <c r="AC18"/>
  <c r="AL8" l="1"/>
  <c r="AL14"/>
  <c r="AP14" s="1"/>
  <c r="AX14" s="1"/>
  <c r="AL6"/>
  <c r="AP6" s="1"/>
  <c r="AX6" s="1"/>
  <c r="AL17"/>
  <c r="AL13"/>
  <c r="AK18"/>
  <c r="AF18"/>
  <c r="AG18"/>
  <c r="AE18"/>
  <c r="AH18"/>
  <c r="AL5"/>
  <c r="AI18"/>
  <c r="AL4"/>
  <c r="AS4"/>
  <c r="AL15"/>
  <c r="AP15" s="1"/>
  <c r="AX15" s="1"/>
  <c r="AL12"/>
  <c r="AP12" s="1"/>
  <c r="AX12" s="1"/>
  <c r="AL16"/>
  <c r="AP16" s="1"/>
  <c r="AX16" s="1"/>
  <c r="AL7"/>
  <c r="AP7" s="1"/>
  <c r="AX7" s="1"/>
  <c r="AL11"/>
  <c r="AP11" s="1"/>
  <c r="AX11" s="1"/>
  <c r="AP8"/>
  <c r="AX8" s="1"/>
  <c r="AP17"/>
  <c r="AX17" s="1"/>
  <c r="AP10"/>
  <c r="AX10" s="1"/>
  <c r="AP13"/>
  <c r="AX13" s="1"/>
  <c r="AP9"/>
  <c r="AX9" s="1"/>
  <c r="AP4"/>
  <c r="AP5"/>
  <c r="S18"/>
  <c r="AL18" l="1"/>
  <c r="AX5"/>
  <c r="AP18"/>
  <c r="AV4"/>
  <c r="AV18" s="1"/>
  <c r="AS18"/>
  <c r="AX4"/>
  <c r="C7" i="60" l="1"/>
  <c r="E3"/>
  <c r="E4"/>
  <c r="E5"/>
  <c r="E6"/>
  <c r="E7" l="1"/>
  <c r="D18" i="61" l="1"/>
  <c r="C18"/>
  <c r="E3"/>
  <c r="E18" s="1"/>
  <c r="E4"/>
  <c r="E5"/>
  <c r="E6"/>
  <c r="E7"/>
  <c r="E8"/>
  <c r="E9"/>
  <c r="E10"/>
  <c r="E11"/>
  <c r="E12"/>
  <c r="E13"/>
  <c r="E14"/>
  <c r="E15"/>
  <c r="E16"/>
  <c r="E17"/>
  <c r="U81" i="58" l="1"/>
  <c r="T78"/>
  <c r="V78" s="1"/>
  <c r="K78"/>
  <c r="S77"/>
  <c r="T77" s="1"/>
  <c r="V77" s="1"/>
  <c r="K77"/>
  <c r="T76"/>
  <c r="V76" s="1"/>
  <c r="V75"/>
  <c r="T75"/>
  <c r="T74"/>
  <c r="V74" s="1"/>
  <c r="V73"/>
  <c r="T73"/>
  <c r="T72"/>
  <c r="V72" s="1"/>
  <c r="V71"/>
  <c r="T71"/>
  <c r="S70"/>
  <c r="R70"/>
  <c r="Q70"/>
  <c r="P70"/>
  <c r="O70"/>
  <c r="N70"/>
  <c r="M70"/>
  <c r="L70"/>
  <c r="K70"/>
  <c r="J70"/>
  <c r="I70"/>
  <c r="H70"/>
  <c r="G70"/>
  <c r="F70"/>
  <c r="E70"/>
  <c r="T70" s="1"/>
  <c r="V70" s="1"/>
  <c r="V69"/>
  <c r="T69"/>
  <c r="T68"/>
  <c r="V68" s="1"/>
  <c r="V67"/>
  <c r="T67"/>
  <c r="T66"/>
  <c r="V66" s="1"/>
  <c r="S65"/>
  <c r="R65"/>
  <c r="Q65"/>
  <c r="P65"/>
  <c r="O65"/>
  <c r="N65"/>
  <c r="M65"/>
  <c r="L65"/>
  <c r="K65"/>
  <c r="J65"/>
  <c r="I65"/>
  <c r="H65"/>
  <c r="G65"/>
  <c r="F65"/>
  <c r="E65"/>
  <c r="T65" s="1"/>
  <c r="V65" s="1"/>
  <c r="T64"/>
  <c r="T63"/>
  <c r="S62"/>
  <c r="R62"/>
  <c r="Q62"/>
  <c r="P62"/>
  <c r="O62"/>
  <c r="N62"/>
  <c r="M62"/>
  <c r="L62"/>
  <c r="K62"/>
  <c r="J62"/>
  <c r="I62"/>
  <c r="H62"/>
  <c r="G62"/>
  <c r="F62"/>
  <c r="T62" s="1"/>
  <c r="E62"/>
  <c r="S61"/>
  <c r="R61"/>
  <c r="R58" s="1"/>
  <c r="Q61"/>
  <c r="P61"/>
  <c r="O61"/>
  <c r="N61"/>
  <c r="N58" s="1"/>
  <c r="M61"/>
  <c r="M58" s="1"/>
  <c r="L61"/>
  <c r="K61"/>
  <c r="J61"/>
  <c r="J58" s="1"/>
  <c r="I61"/>
  <c r="I58" s="1"/>
  <c r="H61"/>
  <c r="G61"/>
  <c r="F61"/>
  <c r="E61"/>
  <c r="E58" s="1"/>
  <c r="S60"/>
  <c r="R60"/>
  <c r="Q60"/>
  <c r="P60"/>
  <c r="O60"/>
  <c r="N60"/>
  <c r="M60"/>
  <c r="L60"/>
  <c r="K60"/>
  <c r="J60"/>
  <c r="I60"/>
  <c r="H60"/>
  <c r="G60"/>
  <c r="F60"/>
  <c r="T60" s="1"/>
  <c r="E60"/>
  <c r="S59"/>
  <c r="R59"/>
  <c r="Q59"/>
  <c r="P59"/>
  <c r="O59"/>
  <c r="N59"/>
  <c r="M59"/>
  <c r="L59"/>
  <c r="K59"/>
  <c r="J59"/>
  <c r="I59"/>
  <c r="H59"/>
  <c r="G59"/>
  <c r="T59" s="1"/>
  <c r="F59"/>
  <c r="E59"/>
  <c r="S58"/>
  <c r="Q58"/>
  <c r="P58"/>
  <c r="O58"/>
  <c r="L58"/>
  <c r="K58"/>
  <c r="H58"/>
  <c r="G58"/>
  <c r="T57"/>
  <c r="S56"/>
  <c r="R56"/>
  <c r="Q56"/>
  <c r="P56"/>
  <c r="O56"/>
  <c r="N56"/>
  <c r="M56"/>
  <c r="L56"/>
  <c r="K56"/>
  <c r="J56"/>
  <c r="I56"/>
  <c r="H56"/>
  <c r="G56"/>
  <c r="F56"/>
  <c r="E56"/>
  <c r="T56" s="1"/>
  <c r="S53"/>
  <c r="R53"/>
  <c r="P53"/>
  <c r="O53"/>
  <c r="N53"/>
  <c r="M53"/>
  <c r="L53"/>
  <c r="K53"/>
  <c r="I53"/>
  <c r="I51" s="1"/>
  <c r="F53"/>
  <c r="S52"/>
  <c r="R52"/>
  <c r="Q52"/>
  <c r="P52"/>
  <c r="O52"/>
  <c r="N52"/>
  <c r="M52"/>
  <c r="L52"/>
  <c r="K52"/>
  <c r="J52"/>
  <c r="I52"/>
  <c r="H52"/>
  <c r="G52"/>
  <c r="T52" s="1"/>
  <c r="F52"/>
  <c r="E52"/>
  <c r="S51"/>
  <c r="R51"/>
  <c r="Q51"/>
  <c r="P51"/>
  <c r="O51"/>
  <c r="N51"/>
  <c r="M51"/>
  <c r="L51"/>
  <c r="K51"/>
  <c r="J51"/>
  <c r="H51"/>
  <c r="G51"/>
  <c r="T51" s="1"/>
  <c r="F51"/>
  <c r="E51"/>
  <c r="S50"/>
  <c r="R50"/>
  <c r="Q50"/>
  <c r="P50"/>
  <c r="O50"/>
  <c r="N50"/>
  <c r="M50"/>
  <c r="L50"/>
  <c r="K50"/>
  <c r="J50"/>
  <c r="I50"/>
  <c r="H50"/>
  <c r="G50"/>
  <c r="T50" s="1"/>
  <c r="F50"/>
  <c r="E50"/>
  <c r="S49"/>
  <c r="R49"/>
  <c r="Q49"/>
  <c r="P49"/>
  <c r="O49"/>
  <c r="N49"/>
  <c r="M49"/>
  <c r="L49"/>
  <c r="K49"/>
  <c r="J49"/>
  <c r="I49"/>
  <c r="H49"/>
  <c r="T49" s="1"/>
  <c r="G49"/>
  <c r="F49"/>
  <c r="E49"/>
  <c r="S48"/>
  <c r="R48"/>
  <c r="Q48"/>
  <c r="O48"/>
  <c r="N48"/>
  <c r="M48"/>
  <c r="L48"/>
  <c r="K48"/>
  <c r="J48"/>
  <c r="I48"/>
  <c r="H48"/>
  <c r="G48"/>
  <c r="T48" s="1"/>
  <c r="F48"/>
  <c r="E48"/>
  <c r="S47"/>
  <c r="R47"/>
  <c r="Q47"/>
  <c r="P47"/>
  <c r="O47"/>
  <c r="N47"/>
  <c r="M47"/>
  <c r="L47"/>
  <c r="K47"/>
  <c r="J47"/>
  <c r="I47"/>
  <c r="H47"/>
  <c r="G47"/>
  <c r="F47"/>
  <c r="E47"/>
  <c r="T47" s="1"/>
  <c r="S46"/>
  <c r="S45" s="1"/>
  <c r="R46"/>
  <c r="Q46"/>
  <c r="O46"/>
  <c r="N46"/>
  <c r="M46"/>
  <c r="L46"/>
  <c r="K46"/>
  <c r="J46"/>
  <c r="I46"/>
  <c r="H46"/>
  <c r="G46"/>
  <c r="F46"/>
  <c r="E46"/>
  <c r="T46" s="1"/>
  <c r="R45"/>
  <c r="Q45"/>
  <c r="P45"/>
  <c r="O45"/>
  <c r="N45"/>
  <c r="M45"/>
  <c r="L45"/>
  <c r="K45"/>
  <c r="J45"/>
  <c r="I45"/>
  <c r="H45"/>
  <c r="G45"/>
  <c r="F45"/>
  <c r="E45"/>
  <c r="T44"/>
  <c r="T43"/>
  <c r="T41"/>
  <c r="S40"/>
  <c r="R40"/>
  <c r="Q40"/>
  <c r="P40"/>
  <c r="O40"/>
  <c r="N40"/>
  <c r="M40"/>
  <c r="L40"/>
  <c r="K40"/>
  <c r="J40"/>
  <c r="I40"/>
  <c r="H40"/>
  <c r="G40"/>
  <c r="F40"/>
  <c r="E40"/>
  <c r="T40" s="1"/>
  <c r="S39"/>
  <c r="R39"/>
  <c r="R38" s="1"/>
  <c r="Q39"/>
  <c r="Q38" s="1"/>
  <c r="P39"/>
  <c r="O39"/>
  <c r="N39"/>
  <c r="N38" s="1"/>
  <c r="M39"/>
  <c r="M38" s="1"/>
  <c r="L39"/>
  <c r="K39"/>
  <c r="J39"/>
  <c r="J38" s="1"/>
  <c r="I39"/>
  <c r="I38" s="1"/>
  <c r="H39"/>
  <c r="G39"/>
  <c r="F39"/>
  <c r="F38" s="1"/>
  <c r="E39"/>
  <c r="E38" s="1"/>
  <c r="S38"/>
  <c r="P38"/>
  <c r="O38"/>
  <c r="L38"/>
  <c r="K38"/>
  <c r="H38"/>
  <c r="G38"/>
  <c r="S37"/>
  <c r="S36" s="1"/>
  <c r="R37"/>
  <c r="Q37"/>
  <c r="Q36" s="1"/>
  <c r="P37"/>
  <c r="P36" s="1"/>
  <c r="P31" s="1"/>
  <c r="O37"/>
  <c r="O36" s="1"/>
  <c r="N37"/>
  <c r="M37"/>
  <c r="L37"/>
  <c r="L36" s="1"/>
  <c r="L31" s="1"/>
  <c r="K37"/>
  <c r="K36" s="1"/>
  <c r="J37"/>
  <c r="I37"/>
  <c r="I36" s="1"/>
  <c r="I31" s="1"/>
  <c r="H37"/>
  <c r="H36" s="1"/>
  <c r="G37"/>
  <c r="F37"/>
  <c r="E37"/>
  <c r="E36" s="1"/>
  <c r="R36"/>
  <c r="N36"/>
  <c r="M36"/>
  <c r="J36"/>
  <c r="G36"/>
  <c r="F36"/>
  <c r="T35"/>
  <c r="T34"/>
  <c r="T33"/>
  <c r="S32"/>
  <c r="R32"/>
  <c r="Q32"/>
  <c r="P32"/>
  <c r="O32"/>
  <c r="N32"/>
  <c r="M32"/>
  <c r="L32"/>
  <c r="K32"/>
  <c r="J32"/>
  <c r="I32"/>
  <c r="H32"/>
  <c r="G32"/>
  <c r="F32"/>
  <c r="E32"/>
  <c r="T32" s="1"/>
  <c r="T30"/>
  <c r="S29"/>
  <c r="R29"/>
  <c r="Q29"/>
  <c r="P29"/>
  <c r="O29"/>
  <c r="N29"/>
  <c r="M29"/>
  <c r="L29"/>
  <c r="K29"/>
  <c r="J29"/>
  <c r="I29"/>
  <c r="H29"/>
  <c r="G29"/>
  <c r="F29"/>
  <c r="E29"/>
  <c r="S28"/>
  <c r="S27" s="1"/>
  <c r="R28"/>
  <c r="R27" s="1"/>
  <c r="Q28"/>
  <c r="Q27" s="1"/>
  <c r="P28"/>
  <c r="O28"/>
  <c r="O27" s="1"/>
  <c r="N28"/>
  <c r="M28"/>
  <c r="M27" s="1"/>
  <c r="L28"/>
  <c r="K28"/>
  <c r="K27" s="1"/>
  <c r="J28"/>
  <c r="J27" s="1"/>
  <c r="I28"/>
  <c r="I27" s="1"/>
  <c r="H28"/>
  <c r="G28"/>
  <c r="G27" s="1"/>
  <c r="F28"/>
  <c r="F27" s="1"/>
  <c r="E28"/>
  <c r="P27"/>
  <c r="N27"/>
  <c r="L27"/>
  <c r="H27"/>
  <c r="S26"/>
  <c r="S25" s="1"/>
  <c r="R26"/>
  <c r="R25" s="1"/>
  <c r="Q26"/>
  <c r="Q25" s="1"/>
  <c r="P26"/>
  <c r="O26"/>
  <c r="O25" s="1"/>
  <c r="N26"/>
  <c r="M26"/>
  <c r="M25" s="1"/>
  <c r="L26"/>
  <c r="K26"/>
  <c r="K25" s="1"/>
  <c r="J26"/>
  <c r="J25" s="1"/>
  <c r="I26"/>
  <c r="I25" s="1"/>
  <c r="H26"/>
  <c r="G26"/>
  <c r="G25" s="1"/>
  <c r="F26"/>
  <c r="E26"/>
  <c r="P25"/>
  <c r="N25"/>
  <c r="L25"/>
  <c r="H25"/>
  <c r="F25"/>
  <c r="S24"/>
  <c r="R24"/>
  <c r="Q24"/>
  <c r="Q22" s="1"/>
  <c r="P24"/>
  <c r="O24"/>
  <c r="N24"/>
  <c r="M24"/>
  <c r="L24"/>
  <c r="K24"/>
  <c r="J24"/>
  <c r="I24"/>
  <c r="H24"/>
  <c r="G24"/>
  <c r="F24"/>
  <c r="E24"/>
  <c r="S23"/>
  <c r="R23"/>
  <c r="R22" s="1"/>
  <c r="Q23"/>
  <c r="P23"/>
  <c r="P22" s="1"/>
  <c r="O23"/>
  <c r="M23"/>
  <c r="L23"/>
  <c r="K23"/>
  <c r="J23"/>
  <c r="I23"/>
  <c r="I22" s="1"/>
  <c r="I20" s="1"/>
  <c r="H23"/>
  <c r="G23"/>
  <c r="F23"/>
  <c r="E23"/>
  <c r="N22"/>
  <c r="L22"/>
  <c r="J22"/>
  <c r="H22"/>
  <c r="F22"/>
  <c r="S21"/>
  <c r="R21"/>
  <c r="Q21"/>
  <c r="P21"/>
  <c r="O21"/>
  <c r="N21"/>
  <c r="M21"/>
  <c r="L21"/>
  <c r="L20" s="1"/>
  <c r="K21"/>
  <c r="J21"/>
  <c r="I21"/>
  <c r="H21"/>
  <c r="G21"/>
  <c r="F21"/>
  <c r="E21"/>
  <c r="J20"/>
  <c r="T19"/>
  <c r="S18"/>
  <c r="S15" s="1"/>
  <c r="Q18"/>
  <c r="Q15" s="1"/>
  <c r="O18"/>
  <c r="N18"/>
  <c r="M18"/>
  <c r="M15" s="1"/>
  <c r="L18"/>
  <c r="L15" s="1"/>
  <c r="K18"/>
  <c r="I18"/>
  <c r="H18"/>
  <c r="H15" s="1"/>
  <c r="G18"/>
  <c r="G15" s="1"/>
  <c r="E18"/>
  <c r="T17"/>
  <c r="T16"/>
  <c r="R15"/>
  <c r="P15"/>
  <c r="O15"/>
  <c r="N15"/>
  <c r="K15"/>
  <c r="J15"/>
  <c r="I15"/>
  <c r="F15"/>
  <c r="S14"/>
  <c r="S55" s="1"/>
  <c r="S54" s="1"/>
  <c r="R14"/>
  <c r="R55" s="1"/>
  <c r="R54" s="1"/>
  <c r="Q14"/>
  <c r="Q55" s="1"/>
  <c r="Q54" s="1"/>
  <c r="P14"/>
  <c r="P55" s="1"/>
  <c r="P54" s="1"/>
  <c r="P42" s="1"/>
  <c r="O14"/>
  <c r="O55" s="1"/>
  <c r="O54" s="1"/>
  <c r="O42" s="1"/>
  <c r="N14"/>
  <c r="N55" s="1"/>
  <c r="N54" s="1"/>
  <c r="M14"/>
  <c r="M55" s="1"/>
  <c r="M54" s="1"/>
  <c r="L14"/>
  <c r="L55" s="1"/>
  <c r="L54" s="1"/>
  <c r="K14"/>
  <c r="K55" s="1"/>
  <c r="K54" s="1"/>
  <c r="K42" s="1"/>
  <c r="J14"/>
  <c r="J55" s="1"/>
  <c r="J54" s="1"/>
  <c r="I14"/>
  <c r="I55" s="1"/>
  <c r="I54" s="1"/>
  <c r="H14"/>
  <c r="H55" s="1"/>
  <c r="H54" s="1"/>
  <c r="H42" s="1"/>
  <c r="G14"/>
  <c r="G55" s="1"/>
  <c r="G54" s="1"/>
  <c r="F14"/>
  <c r="F55" s="1"/>
  <c r="F54" s="1"/>
  <c r="E14"/>
  <c r="E55" s="1"/>
  <c r="S13"/>
  <c r="R13"/>
  <c r="R12" s="1"/>
  <c r="Q13"/>
  <c r="P13"/>
  <c r="P12" s="1"/>
  <c r="O13"/>
  <c r="N13"/>
  <c r="N12" s="1"/>
  <c r="M13"/>
  <c r="L13"/>
  <c r="L12" s="1"/>
  <c r="K13"/>
  <c r="J13"/>
  <c r="J12" s="1"/>
  <c r="I13"/>
  <c r="H13"/>
  <c r="H12" s="1"/>
  <c r="G13"/>
  <c r="F13"/>
  <c r="E13"/>
  <c r="Q12"/>
  <c r="S11"/>
  <c r="S81" s="1"/>
  <c r="R11"/>
  <c r="R81" s="1"/>
  <c r="Q11"/>
  <c r="Q81" s="1"/>
  <c r="P11"/>
  <c r="P81" s="1"/>
  <c r="O11"/>
  <c r="O81" s="1"/>
  <c r="N11"/>
  <c r="N81" s="1"/>
  <c r="M11"/>
  <c r="M81" s="1"/>
  <c r="L11"/>
  <c r="L81" s="1"/>
  <c r="K11"/>
  <c r="K81" s="1"/>
  <c r="J11"/>
  <c r="J81" s="1"/>
  <c r="I11"/>
  <c r="I81" s="1"/>
  <c r="H11"/>
  <c r="H81" s="1"/>
  <c r="G11"/>
  <c r="G81" s="1"/>
  <c r="F11"/>
  <c r="F81" s="1"/>
  <c r="E11"/>
  <c r="E81" s="1"/>
  <c r="Q10"/>
  <c r="G10"/>
  <c r="S9"/>
  <c r="R9"/>
  <c r="Q9"/>
  <c r="P9"/>
  <c r="O9"/>
  <c r="N9"/>
  <c r="M9"/>
  <c r="L9"/>
  <c r="K9"/>
  <c r="J9"/>
  <c r="I9"/>
  <c r="H9"/>
  <c r="G9"/>
  <c r="F9"/>
  <c r="E9"/>
  <c r="Q8"/>
  <c r="S7"/>
  <c r="R7"/>
  <c r="Q7"/>
  <c r="P7"/>
  <c r="O7"/>
  <c r="N7"/>
  <c r="M7"/>
  <c r="L7"/>
  <c r="K7"/>
  <c r="J7"/>
  <c r="I7"/>
  <c r="H7"/>
  <c r="G7"/>
  <c r="F7"/>
  <c r="E7"/>
  <c r="S6"/>
  <c r="S5" s="1"/>
  <c r="R6"/>
  <c r="R5" s="1"/>
  <c r="Q6"/>
  <c r="Q5" s="1"/>
  <c r="P6"/>
  <c r="O6"/>
  <c r="O5" s="1"/>
  <c r="N6"/>
  <c r="M6"/>
  <c r="M5" s="1"/>
  <c r="L6"/>
  <c r="K6"/>
  <c r="K5" s="1"/>
  <c r="J6"/>
  <c r="I6"/>
  <c r="I5" s="1"/>
  <c r="H6"/>
  <c r="G6"/>
  <c r="G5" s="1"/>
  <c r="F6"/>
  <c r="E6"/>
  <c r="E5" s="1"/>
  <c r="N5"/>
  <c r="J5"/>
  <c r="F5"/>
  <c r="Q20" l="1"/>
  <c r="G12"/>
  <c r="K12"/>
  <c r="O12"/>
  <c r="S12"/>
  <c r="F20"/>
  <c r="H20"/>
  <c r="H31"/>
  <c r="E31"/>
  <c r="M31"/>
  <c r="Q31"/>
  <c r="R10"/>
  <c r="Q42"/>
  <c r="M42"/>
  <c r="H5"/>
  <c r="L5"/>
  <c r="P5"/>
  <c r="K10"/>
  <c r="K8" s="1"/>
  <c r="K4" s="1"/>
  <c r="S10"/>
  <c r="S8" s="1"/>
  <c r="E12"/>
  <c r="F31"/>
  <c r="J31"/>
  <c r="N31"/>
  <c r="R31"/>
  <c r="T61"/>
  <c r="G8"/>
  <c r="G4" s="1"/>
  <c r="G3" s="1"/>
  <c r="M12"/>
  <c r="L42"/>
  <c r="N20"/>
  <c r="R8"/>
  <c r="O10"/>
  <c r="O8" s="1"/>
  <c r="I12"/>
  <c r="T13"/>
  <c r="G42"/>
  <c r="P20"/>
  <c r="T23"/>
  <c r="M22"/>
  <c r="M20" s="1"/>
  <c r="R20"/>
  <c r="G22"/>
  <c r="K22"/>
  <c r="K20" s="1"/>
  <c r="T26"/>
  <c r="T7"/>
  <c r="E10"/>
  <c r="E8" s="1"/>
  <c r="I10"/>
  <c r="I8" s="1"/>
  <c r="I4" s="1"/>
  <c r="M10"/>
  <c r="M8" s="1"/>
  <c r="M4" s="1"/>
  <c r="T21"/>
  <c r="T24"/>
  <c r="T28"/>
  <c r="G31"/>
  <c r="K31"/>
  <c r="O31"/>
  <c r="S31"/>
  <c r="T36"/>
  <c r="H10"/>
  <c r="H8" s="1"/>
  <c r="L10"/>
  <c r="L8" s="1"/>
  <c r="L4" s="1"/>
  <c r="P10"/>
  <c r="P8" s="1"/>
  <c r="P4" s="1"/>
  <c r="F12"/>
  <c r="E22"/>
  <c r="E20" s="1"/>
  <c r="O22"/>
  <c r="O20" s="1"/>
  <c r="S22"/>
  <c r="S20" s="1"/>
  <c r="E25"/>
  <c r="T25" s="1"/>
  <c r="T29"/>
  <c r="T37"/>
  <c r="I42"/>
  <c r="T9"/>
  <c r="Q4"/>
  <c r="Q80" s="1"/>
  <c r="G20"/>
  <c r="T38"/>
  <c r="R4"/>
  <c r="R80" s="1"/>
  <c r="T6"/>
  <c r="F10"/>
  <c r="J10"/>
  <c r="J8" s="1"/>
  <c r="J4" s="1"/>
  <c r="N10"/>
  <c r="N8" s="1"/>
  <c r="N4" s="1"/>
  <c r="N80" s="1"/>
  <c r="T18"/>
  <c r="E27"/>
  <c r="T27" s="1"/>
  <c r="T39"/>
  <c r="F58"/>
  <c r="T58" s="1"/>
  <c r="T55"/>
  <c r="E54"/>
  <c r="Q3"/>
  <c r="T45"/>
  <c r="S42"/>
  <c r="F42"/>
  <c r="J42"/>
  <c r="N42"/>
  <c r="R42"/>
  <c r="T5"/>
  <c r="T11"/>
  <c r="T81" s="1"/>
  <c r="T14"/>
  <c r="T53"/>
  <c r="E15"/>
  <c r="G9" i="50"/>
  <c r="G8"/>
  <c r="G7"/>
  <c r="G6"/>
  <c r="G5"/>
  <c r="G4"/>
  <c r="G3"/>
  <c r="T31" i="58" l="1"/>
  <c r="S4"/>
  <c r="S80" s="1"/>
  <c r="T20"/>
  <c r="O4"/>
  <c r="K80"/>
  <c r="K3"/>
  <c r="M80"/>
  <c r="M3"/>
  <c r="O80"/>
  <c r="O3"/>
  <c r="R3"/>
  <c r="T22"/>
  <c r="T12"/>
  <c r="T10"/>
  <c r="H4"/>
  <c r="H3"/>
  <c r="H80"/>
  <c r="J3"/>
  <c r="J80"/>
  <c r="L80"/>
  <c r="L3"/>
  <c r="P80"/>
  <c r="P3"/>
  <c r="I80"/>
  <c r="I3"/>
  <c r="N3"/>
  <c r="G80"/>
  <c r="V31"/>
  <c r="C6" i="67" s="1"/>
  <c r="E6" s="1"/>
  <c r="F8" i="58"/>
  <c r="T54"/>
  <c r="E42"/>
  <c r="T42" s="1"/>
  <c r="T15"/>
  <c r="E4"/>
  <c r="G10" i="50"/>
  <c r="S3" i="58" l="1"/>
  <c r="V42"/>
  <c r="C5" i="67" s="1"/>
  <c r="E5" s="1"/>
  <c r="T8" i="58"/>
  <c r="F4"/>
  <c r="T4"/>
  <c r="E3"/>
  <c r="E80"/>
  <c r="M4" i="49"/>
  <c r="M3"/>
  <c r="N3" s="1"/>
  <c r="L4"/>
  <c r="K4"/>
  <c r="G4"/>
  <c r="H4"/>
  <c r="I4"/>
  <c r="F4"/>
  <c r="O3" l="1"/>
  <c r="O4" s="1"/>
  <c r="N4"/>
  <c r="T3" i="58"/>
  <c r="V3" s="1"/>
  <c r="F80"/>
  <c r="F3"/>
  <c r="T80"/>
  <c r="V4"/>
  <c r="C4" i="67" s="1"/>
  <c r="C17" l="1"/>
  <c r="E4"/>
  <c r="E17" s="1"/>
  <c r="H6" i="47"/>
  <c r="H5"/>
  <c r="H4"/>
  <c r="H3"/>
  <c r="I6" i="45"/>
  <c r="H3" i="46"/>
  <c r="H7" s="1"/>
  <c r="H4"/>
  <c r="H5"/>
  <c r="H6"/>
  <c r="H7" i="47" l="1"/>
  <c r="I16" i="45" l="1"/>
  <c r="I15"/>
  <c r="I14"/>
  <c r="I13"/>
  <c r="I12"/>
  <c r="I11"/>
  <c r="I10"/>
  <c r="I9"/>
  <c r="I8"/>
  <c r="I7"/>
  <c r="I5"/>
  <c r="I4"/>
  <c r="I17" l="1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<sst xmlns="http://schemas.openxmlformats.org/spreadsheetml/2006/main" count="14498" uniqueCount="2430">
  <si>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</si>
  <si>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</si>
  <si>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</si>
  <si>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</si>
  <si>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</si>
  <si>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</si>
  <si>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</si>
  <si>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</si>
  <si>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</si>
  <si>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</si>
  <si>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</si>
  <si>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</si>
  <si>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</si>
  <si>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</si>
  <si>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</si>
  <si>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</si>
  <si>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</si>
  <si>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</si>
  <si>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</si>
  <si>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</si>
  <si>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</si>
  <si>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</si>
  <si>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</si>
  <si>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</si>
  <si>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</si>
  <si>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</si>
  <si>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</si>
  <si>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</si>
  <si>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</si>
  <si>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</si>
  <si>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</si>
  <si>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</si>
  <si>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</si>
  <si>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</si>
  <si>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</si>
  <si>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</si>
  <si>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</si>
  <si>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</si>
  <si>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</si>
  <si>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</si>
  <si>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</si>
  <si>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</si>
  <si>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</si>
  <si>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</si>
  <si>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</si>
  <si>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</si>
  <si>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</si>
  <si>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</si>
  <si>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</si>
  <si>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</si>
  <si>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</si>
  <si>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</si>
  <si>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</si>
  <si>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</si>
  <si>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</si>
  <si>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</si>
  <si>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</si>
  <si>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</si>
  <si>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</si>
  <si>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</si>
  <si>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</si>
  <si>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</si>
  <si>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</si>
  <si>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</si>
  <si>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</si>
  <si>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</si>
  <si>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</si>
  <si>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</si>
  <si>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</si>
  <si>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</si>
  <si>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</si>
  <si>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</si>
  <si>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</si>
  <si>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</si>
  <si>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</si>
  <si>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</si>
  <si>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</si>
  <si>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</si>
  <si>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</si>
  <si>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</si>
  <si>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</si>
  <si>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</si>
  <si>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</si>
  <si>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</si>
  <si>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</si>
  <si>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</si>
  <si>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</si>
  <si>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</si>
  <si>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</si>
  <si>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</si>
  <si>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</si>
  <si>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</si>
  <si>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</si>
  <si>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</si>
  <si>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</si>
  <si>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</si>
  <si>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</si>
  <si>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</si>
  <si>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</si>
  <si>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</si>
  <si>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</si>
  <si>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</si>
  <si>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</si>
  <si>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</si>
  <si>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</si>
  <si>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</si>
  <si>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</si>
  <si>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</si>
  <si>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</si>
  <si>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</si>
  <si>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</si>
  <si>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</si>
  <si>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</si>
  <si>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</si>
  <si>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</si>
  <si>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</si>
  <si>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</si>
  <si>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</si>
  <si>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</si>
  <si>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</si>
  <si>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</si>
  <si>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</si>
  <si>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</si>
  <si>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</si>
  <si>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</si>
  <si>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</si>
  <si>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</si>
  <si>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</si>
  <si>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</si>
  <si>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</si>
  <si>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</si>
  <si>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</si>
  <si>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</si>
  <si>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</si>
  <si>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</si>
  <si>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</si>
  <si>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</si>
  <si>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</si>
  <si>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</si>
  <si>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</si>
  <si>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</si>
  <si>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</si>
  <si>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</si>
  <si>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</si>
  <si>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</si>
  <si>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</si>
  <si>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</si>
  <si>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</si>
  <si>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</si>
  <si>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</si>
  <si>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</si>
  <si>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</si>
  <si>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</si>
  <si>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</si>
  <si>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</si>
  <si>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</si>
  <si>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</si>
  <si>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</si>
  <si>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</si>
  <si>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</si>
  <si>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</si>
  <si>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</si>
  <si>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</si>
  <si>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</si>
  <si>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</si>
  <si>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</si>
  <si>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</si>
  <si>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</si>
  <si>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</si>
  <si>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</si>
  <si>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</si>
  <si>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</si>
  <si>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</si>
  <si>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</si>
  <si>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</si>
  <si>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</si>
  <si>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</si>
  <si>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</si>
  <si>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</si>
  <si>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</si>
  <si>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</si>
  <si>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</si>
  <si>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</si>
  <si>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</si>
  <si>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</si>
  <si>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</si>
  <si>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</si>
  <si>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</si>
  <si>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</si>
  <si>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</si>
  <si>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</si>
  <si>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</si>
  <si>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</si>
  <si>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</si>
  <si>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</si>
  <si>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</si>
  <si>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</si>
  <si>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</si>
  <si>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</si>
  <si>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</si>
  <si>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</si>
  <si>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</si>
  <si>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</si>
  <si>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</si>
  <si>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</si>
  <si>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</si>
  <si>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</si>
  <si>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</si>
  <si>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</si>
  <si>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</si>
  <si>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</si>
  <si>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</si>
  <si>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</si>
  <si>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</si>
  <si>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</si>
  <si>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</si>
  <si>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</si>
  <si>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</si>
  <si>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</si>
  <si>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</si>
  <si>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</si>
  <si>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</si>
  <si>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</si>
  <si>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</si>
  <si>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</si>
  <si>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</si>
  <si>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</si>
  <si>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</si>
  <si>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</si>
  <si>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</si>
  <si>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</si>
  <si>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</si>
  <si>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</si>
  <si>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</si>
  <si>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</si>
  <si>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</si>
  <si>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</si>
  <si>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</si>
  <si>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</si>
  <si>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</si>
  <si>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</si>
  <si>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</si>
  <si>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</si>
  <si>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</si>
  <si>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</si>
  <si>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</si>
  <si>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</si>
  <si>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</si>
  <si>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</si>
  <si>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</si>
  <si>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</si>
  <si>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</si>
  <si>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</si>
  <si>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</si>
  <si>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</si>
  <si>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</si>
  <si>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</si>
  <si>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</si>
  <si>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</si>
  <si>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</si>
  <si>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</si>
  <si>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</si>
  <si>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</si>
  <si>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</si>
  <si>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</si>
  <si>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</si>
  <si>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</si>
  <si>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</si>
  <si>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</si>
  <si>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</si>
  <si>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</si>
  <si>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</si>
  <si>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</si>
  <si>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</si>
  <si>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</si>
  <si>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</si>
  <si>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</si>
  <si>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</si>
  <si>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</si>
  <si>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</si>
  <si>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</si>
  <si>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</si>
  <si>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</si>
  <si>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</si>
  <si>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</si>
  <si>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</si>
  <si>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</si>
  <si>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</si>
  <si>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</si>
  <si>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</si>
  <si>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</si>
  <si>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</si>
  <si>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</si>
  <si>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</si>
  <si>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</si>
  <si>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</si>
  <si>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</si>
  <si>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</si>
  <si>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</si>
  <si>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</si>
  <si>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</si>
  <si>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</si>
  <si>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</si>
  <si>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</si>
  <si>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</si>
  <si>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</si>
  <si>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</si>
  <si>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</si>
  <si>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</si>
  <si>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</si>
  <si>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</si>
  <si>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</si>
  <si>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</si>
  <si>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</si>
  <si>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</si>
  <si>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</si>
  <si>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</si>
  <si>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</si>
  <si>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</si>
  <si>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</si>
  <si>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</si>
  <si>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</si>
  <si>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</si>
  <si>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</si>
  <si>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</si>
  <si>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</si>
  <si>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</si>
  <si>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</si>
  <si>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</si>
  <si>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</si>
  <si>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</si>
  <si>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</si>
  <si>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</si>
  <si>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</si>
  <si>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</si>
  <si>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</si>
  <si>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</si>
  <si>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</si>
  <si>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</si>
  <si>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</si>
  <si>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</si>
  <si>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</si>
  <si>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</si>
  <si>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</si>
  <si>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</si>
  <si>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</si>
  <si>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</si>
  <si>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</si>
  <si>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</si>
  <si>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</si>
  <si>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</si>
  <si>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</si>
  <si>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</si>
  <si>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</si>
  <si>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</si>
  <si>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</si>
  <si>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</si>
  <si>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</si>
  <si>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</si>
  <si>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</si>
  <si>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</si>
  <si>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</si>
  <si>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</si>
  <si>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</si>
  <si>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</si>
  <si>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</si>
  <si>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</si>
  <si>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</si>
  <si>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</si>
  <si>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</si>
  <si>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</si>
  <si>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</si>
  <si>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</si>
  <si>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</si>
  <si>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</si>
  <si>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</si>
  <si>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</si>
  <si>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</si>
  <si>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</si>
  <si>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</si>
  <si>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</si>
  <si>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</si>
  <si>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</si>
  <si>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</si>
  <si>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</si>
  <si>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</si>
  <si>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</si>
  <si>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</si>
  <si>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</si>
  <si>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</si>
  <si>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</si>
  <si>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</si>
  <si>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</si>
  <si>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</si>
  <si>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</si>
  <si>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</si>
  <si>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</si>
  <si>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</si>
  <si>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</si>
  <si>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</si>
  <si>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</si>
  <si>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</si>
  <si>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</si>
  <si>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</si>
  <si>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</si>
  <si>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</si>
  <si>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</si>
  <si>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</si>
  <si>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</si>
  <si>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</si>
  <si>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</si>
  <si>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</si>
  <si>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</si>
  <si>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</si>
  <si>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</si>
  <si>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</si>
  <si>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</si>
  <si>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</si>
  <si>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</si>
  <si>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</si>
  <si>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</si>
  <si>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</si>
  <si>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</si>
  <si>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</si>
  <si>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</si>
  <si>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</si>
  <si>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</si>
  <si>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</si>
  <si>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</si>
  <si>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</si>
  <si>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</si>
  <si>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</si>
  <si>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</si>
  <si>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</si>
  <si>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</si>
  <si>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</si>
  <si>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</si>
  <si>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</si>
  <si>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</si>
  <si>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</si>
  <si>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</si>
  <si>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</si>
  <si>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</si>
  <si>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</si>
  <si>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</si>
  <si>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</si>
  <si>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</si>
  <si>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</si>
  <si>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</si>
  <si>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</si>
  <si>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</si>
  <si>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</si>
  <si>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</si>
  <si>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</si>
  <si>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</si>
  <si>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</si>
  <si>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</si>
  <si>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</si>
  <si>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</si>
  <si>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</si>
  <si>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</si>
  <si>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</si>
  <si>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</si>
  <si>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</si>
  <si>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</si>
  <si>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</si>
  <si>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</si>
  <si>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</si>
  <si>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</si>
  <si>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</si>
  <si>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</si>
  <si>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</si>
  <si>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</si>
  <si>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</si>
  <si>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</si>
  <si>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</si>
  <si>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</si>
  <si>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</si>
  <si>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</si>
  <si>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</si>
  <si>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</si>
  <si>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</si>
  <si>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</si>
  <si>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</si>
  <si>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</si>
  <si>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</si>
  <si>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</si>
  <si>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</si>
  <si>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</si>
  <si>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</si>
  <si>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</si>
  <si>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</si>
  <si>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</si>
  <si>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</si>
  <si>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</si>
  <si>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</si>
  <si>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</si>
  <si>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</si>
  <si>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</si>
  <si>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</si>
  <si>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</si>
  <si>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</si>
  <si>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</si>
  <si>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</si>
  <si>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</si>
  <si>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</si>
  <si>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</si>
  <si>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</si>
  <si>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</si>
  <si>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</si>
  <si>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</si>
  <si>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</si>
  <si>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</si>
  <si>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</si>
  <si>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</si>
  <si>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</si>
  <si>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</si>
  <si>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</si>
  <si>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</si>
  <si>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</si>
  <si>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</si>
  <si>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</si>
  <si>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</si>
  <si>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</si>
  <si>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</si>
  <si>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</si>
  <si>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</si>
  <si>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</si>
  <si>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</si>
  <si>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</si>
  <si>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</si>
  <si>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</si>
  <si>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</si>
  <si>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</si>
  <si>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</si>
  <si>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</si>
  <si>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</si>
  <si>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</si>
  <si>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</si>
  <si>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</si>
  <si>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</si>
  <si>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</si>
  <si>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</si>
  <si>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</si>
  <si>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</si>
  <si>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</si>
  <si>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</si>
  <si>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</si>
  <si>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</si>
  <si>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</si>
  <si>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</si>
  <si>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</si>
  <si>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</si>
  <si>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</si>
  <si>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</si>
  <si>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</si>
  <si>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</si>
  <si>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</si>
  <si>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</si>
  <si>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</si>
  <si>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</si>
  <si>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</si>
  <si>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</si>
  <si>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</si>
  <si>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</si>
  <si>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</si>
  <si>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</si>
  <si>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</si>
  <si>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</si>
  <si>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</si>
  <si>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</si>
  <si>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</si>
  <si>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</si>
  <si>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</si>
  <si>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</si>
  <si>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</si>
  <si>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</si>
  <si>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</si>
  <si>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</si>
  <si>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</si>
  <si>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</si>
  <si>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</si>
  <si>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</si>
  <si>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</si>
  <si>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</si>
  <si>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</si>
  <si>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</si>
  <si>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</si>
  <si>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</si>
  <si>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</si>
  <si>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</si>
  <si>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</si>
  <si>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</si>
  <si>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</si>
  <si>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</si>
  <si>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</si>
  <si>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</si>
  <si>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</si>
  <si>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</si>
  <si>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</si>
  <si>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</si>
  <si>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</si>
  <si>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</si>
  <si>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</si>
  <si>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</si>
  <si>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</si>
  <si>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</si>
  <si>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</si>
  <si>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</si>
  <si>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</si>
  <si>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</si>
  <si>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</si>
  <si>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</si>
  <si>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</si>
  <si>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</si>
  <si>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</si>
  <si>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</si>
  <si>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</si>
  <si>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</si>
  <si>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</si>
  <si>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</si>
  <si>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</si>
  <si>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</si>
  <si>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</si>
  <si>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</si>
  <si>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</si>
  <si>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</si>
  <si>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</si>
  <si>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</si>
  <si>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</si>
  <si>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</si>
  <si>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</si>
  <si>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</si>
  <si>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</si>
  <si>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</si>
  <si>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</si>
  <si>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</si>
  <si>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</si>
  <si>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</si>
  <si>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</si>
  <si>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</si>
  <si>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</si>
  <si>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</si>
  <si>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</si>
  <si>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</si>
  <si>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</si>
  <si>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</si>
  <si>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</si>
  <si>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</si>
  <si>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</si>
  <si>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</si>
  <si>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</si>
  <si>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</si>
  <si>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</si>
  <si>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</si>
  <si>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</si>
  <si>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</si>
  <si>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</si>
  <si>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</si>
  <si>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</si>
  <si>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</si>
  <si>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</si>
  <si>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</si>
  <si>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</si>
  <si>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</si>
  <si>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</si>
  <si>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</si>
  <si>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</si>
  <si>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</si>
  <si>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</si>
  <si>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</si>
  <si>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</si>
  <si>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</si>
  <si>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</si>
  <si>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</si>
  <si>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</si>
  <si>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</si>
  <si>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</si>
  <si>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</si>
  <si>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</si>
  <si>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</si>
  <si>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</si>
  <si>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</si>
  <si>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</si>
  <si>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</si>
  <si>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</si>
  <si>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</si>
  <si>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</si>
  <si>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</si>
  <si>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</si>
  <si>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</si>
  <si>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</si>
  <si>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</si>
  <si>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</si>
  <si>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</si>
  <si>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</si>
  <si>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</si>
  <si>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</si>
  <si>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</si>
  <si>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</si>
  <si>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</si>
  <si>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</si>
  <si>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</si>
  <si>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</si>
  <si>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</si>
  <si>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</si>
  <si>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</si>
  <si>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</si>
  <si>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</si>
  <si>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</si>
  <si>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</si>
  <si>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</si>
  <si>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</si>
  <si>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</si>
  <si>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</si>
  <si>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</si>
  <si>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</si>
  <si>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</si>
  <si>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</si>
  <si>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</si>
  <si>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</si>
  <si>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</si>
  <si>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</si>
  <si>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</si>
  <si>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</si>
  <si>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</si>
  <si>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</si>
  <si>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</si>
  <si>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</si>
  <si>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</si>
  <si>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</si>
  <si>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</si>
  <si>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</si>
  <si>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</si>
  <si>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</si>
  <si>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</si>
  <si>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</si>
  <si>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</si>
  <si>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</si>
  <si>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</si>
  <si>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</si>
  <si>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</si>
  <si>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</si>
  <si>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</si>
  <si>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</si>
  <si>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</si>
  <si>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</si>
  <si>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</si>
  <si>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</si>
  <si>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</si>
  <si>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</si>
  <si>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</si>
  <si>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</si>
  <si>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</si>
  <si>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</si>
  <si>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</si>
  <si>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</si>
  <si>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</si>
  <si>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</si>
  <si>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</si>
  <si>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</si>
  <si>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</si>
  <si>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</si>
  <si>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</si>
  <si>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</si>
  <si>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</si>
  <si>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</si>
  <si>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</si>
  <si>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</si>
  <si>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</si>
  <si>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</si>
  <si>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</si>
  <si>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</si>
  <si>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</si>
  <si>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</si>
  <si>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</si>
  <si>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</si>
  <si>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</si>
  <si>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</si>
  <si>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</si>
  <si>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</si>
  <si>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</si>
  <si>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</si>
  <si>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</si>
  <si>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</si>
  <si>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</si>
  <si>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</si>
  <si>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</si>
  <si>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</si>
  <si>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</si>
  <si>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</si>
  <si>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</si>
  <si>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</si>
  <si>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</si>
  <si>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</si>
  <si>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</si>
  <si>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</si>
  <si>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</si>
  <si>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</si>
  <si>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</si>
  <si>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</si>
  <si>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</si>
  <si>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</si>
  <si>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</si>
  <si>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</si>
  <si>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</si>
  <si>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</si>
  <si>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</si>
  <si>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</si>
  <si>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</si>
  <si>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</si>
  <si>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</si>
  <si>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</si>
  <si>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</si>
  <si>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</si>
  <si>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</si>
  <si>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</si>
  <si>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</si>
  <si>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</si>
  <si>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</si>
  <si>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</si>
  <si>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</si>
  <si>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</si>
  <si>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</si>
  <si>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</si>
  <si>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</si>
  <si>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</si>
  <si>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</si>
  <si>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</si>
  <si>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</si>
  <si>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</si>
  <si>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</si>
  <si>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</si>
  <si>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</si>
  <si>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</si>
  <si>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</si>
  <si>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</si>
  <si>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</si>
  <si>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</si>
  <si>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</si>
  <si>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</si>
  <si>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</si>
  <si>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</si>
  <si>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</si>
  <si>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</si>
  <si>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</si>
  <si>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</si>
  <si>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</si>
  <si>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</si>
  <si>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</si>
  <si>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</si>
  <si>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</si>
  <si>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</si>
  <si>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</si>
  <si>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</si>
  <si>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</si>
  <si>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</si>
  <si>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</si>
  <si>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</si>
  <si>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</si>
  <si>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</si>
  <si>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</si>
  <si>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</si>
  <si>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</si>
  <si>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</si>
  <si>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</si>
  <si>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</si>
  <si>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</si>
  <si>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</si>
  <si>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</si>
  <si>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</si>
  <si>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</si>
  <si>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</si>
  <si>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</si>
  <si>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</si>
  <si>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</si>
  <si>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</si>
  <si>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</si>
  <si>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</si>
  <si>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</si>
  <si>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</si>
  <si>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</si>
  <si>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</si>
  <si>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</si>
  <si>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</si>
  <si>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</si>
  <si>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</si>
  <si>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</si>
  <si>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</si>
  <si>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</si>
  <si>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</si>
  <si>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</si>
  <si>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</si>
  <si>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</si>
  <si>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</si>
  <si>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</si>
  <si>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</si>
  <si>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</si>
  <si>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</si>
  <si>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</si>
  <si>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</si>
  <si>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</si>
  <si>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</si>
  <si>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</si>
  <si>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</si>
  <si>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</si>
  <si>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</si>
  <si>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</si>
  <si>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</si>
  <si>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</si>
  <si>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</si>
  <si>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</si>
  <si>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</si>
  <si>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</si>
  <si>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</si>
  <si>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</si>
  <si>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</si>
  <si>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</si>
  <si>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</si>
  <si>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</si>
  <si>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</si>
  <si>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</si>
  <si>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</si>
  <si>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</si>
  <si>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</si>
  <si>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</si>
  <si>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</si>
  <si>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</si>
  <si>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</si>
  <si>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</si>
  <si>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</si>
  <si>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</si>
  <si>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</si>
  <si>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</si>
  <si>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</si>
  <si>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</si>
  <si>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</si>
  <si>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</si>
  <si>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</si>
  <si>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</si>
  <si>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</si>
  <si>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</si>
  <si>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</si>
  <si>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</si>
  <si>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</si>
  <si>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</si>
  <si>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</si>
  <si>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</si>
  <si>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</si>
  <si>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</si>
  <si>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</si>
  <si>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</si>
  <si>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</si>
  <si>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</si>
  <si>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</si>
  <si>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</si>
  <si>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</si>
  <si>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</si>
  <si>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</si>
  <si>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</si>
  <si>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</si>
  <si>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</si>
  <si>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</si>
  <si>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</si>
  <si>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</si>
  <si>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</si>
  <si>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</si>
  <si>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</si>
  <si>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</si>
  <si>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</si>
  <si>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</si>
  <si>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</si>
  <si>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</si>
  <si>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</si>
  <si>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</si>
  <si>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</si>
  <si>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</si>
  <si>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</si>
  <si>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</si>
  <si>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</si>
  <si>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</si>
  <si>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</si>
  <si>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</si>
  <si>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</si>
  <si>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</si>
  <si>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</si>
  <si>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</si>
  <si>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</si>
  <si>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</si>
  <si>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</si>
  <si>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</si>
  <si>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</si>
  <si>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</si>
  <si>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</si>
  <si>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</si>
  <si>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</si>
  <si>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</si>
  <si>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</si>
  <si>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</si>
  <si>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</si>
  <si>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</si>
  <si>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</si>
  <si>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</si>
  <si>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</si>
  <si>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</si>
  <si>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</si>
  <si>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</si>
  <si>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</si>
  <si>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</si>
  <si>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</si>
  <si>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</si>
  <si>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</si>
  <si>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</si>
  <si>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</si>
  <si>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</si>
  <si>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</si>
  <si>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</si>
  <si>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</si>
  <si>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</si>
  <si>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</si>
  <si>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</si>
  <si>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</si>
  <si>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</si>
  <si>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</si>
  <si>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</si>
  <si>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</si>
  <si>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</si>
  <si>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</si>
  <si>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</si>
  <si>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</si>
  <si>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</si>
  <si>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</si>
  <si>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</si>
  <si>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</si>
  <si>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</si>
  <si>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</si>
  <si>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</si>
  <si>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</si>
  <si>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</si>
  <si>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</si>
  <si>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</si>
  <si>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</si>
  <si>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</si>
  <si>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</si>
  <si>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</si>
  <si>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</si>
  <si>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</si>
  <si>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</si>
  <si>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</si>
  <si>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</si>
  <si>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</si>
  <si>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</si>
  <si>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</si>
  <si>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</si>
  <si>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</si>
  <si>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</si>
  <si>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</si>
  <si>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</si>
  <si>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</si>
  <si>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</si>
  <si>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</si>
  <si>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</si>
  <si>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</si>
  <si>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</si>
  <si>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</si>
  <si>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</si>
  <si>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</si>
  <si>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</si>
  <si>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</si>
  <si>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</si>
  <si>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</si>
  <si>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</si>
  <si>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</si>
  <si>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</si>
  <si>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</si>
  <si>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</si>
  <si>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</si>
  <si>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</si>
  <si>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</si>
  <si>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</si>
  <si>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</si>
  <si>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</si>
  <si>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</si>
  <si>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</si>
  <si>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</si>
  <si>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</si>
  <si>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</si>
  <si>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</si>
  <si>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</si>
  <si>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</si>
  <si>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</si>
  <si>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</si>
  <si>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</si>
  <si>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</si>
  <si>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</si>
  <si>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</si>
  <si>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</si>
  <si>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</si>
  <si>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</si>
  <si>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</si>
  <si>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</si>
  <si>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</si>
  <si>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</si>
  <si>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</si>
  <si>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</si>
  <si>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</si>
  <si>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</si>
  <si>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</si>
  <si>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</si>
  <si>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</si>
  <si>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</si>
  <si>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</si>
  <si>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</si>
  <si>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</si>
  <si>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</si>
  <si>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</si>
  <si>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</si>
  <si>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</si>
  <si>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</si>
  <si>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</si>
  <si>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</si>
  <si>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</si>
  <si>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</si>
  <si>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</si>
  <si>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</si>
  <si>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</si>
  <si>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</si>
  <si>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</si>
  <si>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</si>
  <si>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</si>
  <si>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</si>
  <si>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</si>
  <si>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</si>
  <si>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</si>
  <si>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</si>
  <si>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</si>
  <si>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</si>
  <si>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</si>
  <si>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</si>
  <si>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</si>
  <si>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</si>
  <si>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</si>
  <si>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</si>
  <si>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</si>
  <si>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</si>
  <si>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</si>
  <si>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</si>
  <si>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</si>
  <si>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</si>
  <si>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</si>
  <si>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</si>
  <si>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</si>
  <si>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</si>
  <si>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</si>
  <si>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</si>
  <si>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</si>
  <si>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</si>
  <si>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</si>
  <si>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</si>
  <si>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</si>
  <si>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</si>
  <si>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</si>
  <si>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</si>
  <si>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</si>
  <si>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</si>
  <si>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</si>
  <si>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</si>
  <si>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</si>
  <si>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</si>
  <si>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</si>
  <si>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</si>
  <si>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</si>
  <si>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</si>
  <si>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</si>
  <si>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</si>
  <si>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</si>
  <si>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</si>
  <si>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</si>
  <si>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</si>
  <si>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</si>
  <si>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</si>
  <si>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</si>
  <si>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</si>
  <si>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</si>
  <si>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</si>
  <si>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</si>
  <si>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</si>
  <si>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</si>
  <si>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</si>
  <si>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</si>
  <si>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</si>
  <si>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</si>
  <si>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</si>
  <si>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</si>
  <si>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</si>
  <si>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</si>
  <si>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</si>
  <si>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</si>
  <si>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</si>
  <si>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</si>
  <si>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</si>
  <si>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</si>
  <si>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</si>
  <si>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</si>
  <si>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</si>
  <si>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</si>
  <si>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</si>
  <si>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</si>
  <si>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</si>
  <si>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</si>
  <si>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</si>
  <si>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</si>
  <si>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</si>
  <si>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</si>
  <si>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</si>
  <si>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</si>
  <si>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</si>
  <si>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</si>
  <si>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</si>
  <si>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</si>
  <si>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</si>
  <si>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</si>
  <si>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</si>
  <si>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</si>
  <si>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</si>
  <si>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</si>
  <si>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</si>
  <si>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</si>
  <si>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</si>
  <si>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</si>
  <si>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</si>
  <si>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</si>
  <si>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</si>
  <si>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</si>
  <si>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</si>
  <si>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</si>
  <si>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</si>
  <si>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</si>
  <si>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</si>
  <si>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</si>
  <si>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</si>
  <si>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</si>
  <si>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</si>
  <si>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</si>
  <si>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</si>
  <si>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</si>
  <si>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</si>
  <si>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</si>
  <si>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</si>
  <si>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</si>
  <si>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</si>
  <si>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</si>
  <si>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</si>
  <si>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</si>
  <si>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</si>
  <si>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</si>
  <si>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</si>
  <si>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</si>
  <si>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</si>
  <si>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</si>
  <si>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</si>
  <si>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</si>
  <si>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</si>
  <si>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</si>
  <si>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</si>
  <si>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</si>
  <si>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</si>
  <si>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</si>
  <si>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</si>
  <si>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</si>
  <si>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</si>
  <si>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</si>
  <si>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</si>
  <si>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</si>
  <si>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</si>
  <si>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</si>
  <si>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</si>
  <si>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</si>
  <si>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</si>
  <si>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</si>
  <si>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</si>
  <si>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</si>
  <si>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</si>
  <si>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</si>
  <si>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</si>
  <si>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</si>
  <si>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</si>
  <si>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</si>
  <si>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</si>
  <si>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</si>
  <si>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</si>
  <si>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</si>
  <si>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</si>
  <si>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</si>
  <si>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</si>
  <si>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</si>
  <si>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</si>
  <si>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</si>
  <si>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</si>
  <si>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</si>
  <si>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</si>
  <si>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</si>
  <si>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</si>
  <si>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</si>
  <si>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</si>
  <si>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</si>
  <si>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</si>
  <si>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</si>
  <si>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</si>
  <si>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</si>
  <si>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</si>
  <si>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</si>
  <si>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</si>
  <si>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</si>
  <si>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</si>
  <si>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</si>
  <si>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</si>
  <si>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</si>
  <si>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</si>
  <si>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</si>
  <si>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</si>
  <si>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</si>
  <si>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</si>
  <si>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</si>
  <si>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</si>
  <si>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</si>
  <si>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</si>
  <si>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</si>
  <si>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</si>
  <si>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</si>
  <si>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</si>
  <si>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</si>
  <si>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</si>
  <si>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</si>
  <si>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</si>
  <si>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</si>
  <si>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</si>
  <si>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</si>
  <si>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</si>
  <si>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</si>
  <si>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</si>
  <si>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</si>
  <si>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</si>
  <si>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</si>
  <si>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</si>
  <si>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</si>
  <si>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</si>
  <si>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</si>
  <si>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</si>
  <si>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</si>
  <si>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</si>
  <si>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</si>
  <si>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</si>
  <si>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</si>
  <si>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</si>
  <si>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</si>
  <si>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</si>
  <si>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</si>
  <si>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</si>
  <si>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</si>
  <si>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</si>
  <si>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</si>
  <si>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</si>
  <si>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</si>
  <si>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</si>
  <si>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</si>
  <si>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</si>
  <si>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</si>
  <si>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</si>
  <si>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</si>
  <si>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</si>
  <si>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</si>
  <si>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</si>
  <si>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</si>
  <si>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</si>
  <si>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</si>
  <si>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</si>
  <si>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</si>
  <si>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</si>
  <si>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</si>
  <si>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</si>
  <si>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</si>
  <si>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</si>
  <si>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</si>
  <si>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</si>
  <si>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</si>
  <si>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</si>
  <si>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</si>
  <si>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</si>
  <si>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</si>
  <si>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</si>
  <si>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</si>
  <si>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</si>
  <si>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</si>
  <si>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</si>
  <si>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</si>
  <si>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</si>
  <si>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</si>
  <si>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</si>
  <si>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</si>
  <si>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</si>
  <si>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</si>
  <si>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</si>
  <si>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</si>
  <si>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</si>
  <si>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</si>
  <si>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</si>
  <si>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</si>
  <si>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</si>
  <si>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</si>
  <si>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</si>
  <si>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</si>
  <si>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</si>
  <si>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</si>
  <si>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</si>
  <si>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</si>
  <si>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</si>
  <si>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</si>
  <si>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</si>
  <si>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</si>
  <si>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</si>
  <si>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</si>
  <si>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</si>
  <si>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</si>
  <si>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</si>
  <si>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</si>
  <si>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</si>
  <si>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</si>
  <si>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</si>
  <si>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</si>
  <si>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</si>
  <si>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</si>
  <si>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</si>
  <si>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</si>
  <si>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</si>
  <si>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</si>
  <si>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</si>
  <si>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</si>
  <si>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</si>
  <si>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</si>
  <si>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</si>
  <si>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</si>
  <si>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</si>
  <si>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</si>
  <si>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</si>
  <si>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</si>
  <si>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</si>
  <si>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</si>
  <si>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</si>
  <si>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</si>
  <si>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</si>
  <si>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</si>
  <si>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</si>
  <si>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</si>
  <si>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</si>
  <si>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</si>
  <si>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</si>
  <si>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</si>
  <si>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</si>
  <si>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</si>
  <si>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</si>
  <si>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</si>
  <si>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</si>
  <si>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</si>
  <si>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</si>
  <si>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</si>
  <si>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</si>
  <si>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</si>
  <si>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</si>
  <si>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</si>
  <si>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</si>
  <si>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</si>
  <si>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</si>
  <si>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</si>
  <si>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</si>
  <si>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</si>
  <si>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</si>
  <si>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</si>
  <si>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</si>
  <si>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</si>
  <si>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</si>
  <si>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</si>
  <si>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</si>
  <si>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</si>
  <si>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</si>
  <si>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</si>
  <si>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</si>
  <si>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</si>
  <si>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</si>
  <si>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</si>
  <si>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</si>
  <si>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</si>
  <si>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</si>
  <si>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</si>
  <si>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</si>
  <si>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</si>
  <si>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</si>
  <si>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</si>
  <si>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</si>
  <si>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</si>
  <si>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</si>
  <si>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</si>
  <si>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</si>
  <si>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</si>
  <si>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</si>
  <si>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</si>
  <si>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</si>
  <si>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</si>
  <si>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</si>
  <si>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</si>
  <si>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</si>
  <si>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</si>
  <si>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</si>
  <si>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</si>
  <si>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</si>
  <si>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</si>
  <si>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</si>
  <si>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</si>
  <si>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</si>
  <si>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</si>
  <si>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</si>
  <si>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</si>
  <si>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</si>
  <si>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</si>
  <si>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</si>
  <si>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</si>
  <si>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</si>
  <si>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</si>
  <si>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</si>
  <si>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</si>
  <si>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</si>
  <si>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</si>
  <si>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</si>
  <si>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</si>
  <si>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</si>
  <si>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</si>
  <si>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</si>
  <si>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</si>
  <si>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</si>
  <si>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</si>
  <si>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</si>
  <si>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</si>
  <si>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</si>
  <si>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</si>
  <si>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</si>
  <si>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</si>
  <si>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</si>
  <si>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</si>
  <si>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</si>
  <si>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</si>
  <si>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</si>
  <si>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</si>
  <si>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</si>
  <si>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</si>
  <si>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</si>
  <si>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</si>
  <si>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</si>
  <si>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</si>
  <si>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</si>
  <si>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</si>
  <si>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</si>
  <si>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</si>
  <si>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</si>
  <si>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</si>
  <si>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</si>
  <si>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</si>
  <si>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</si>
  <si>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</si>
  <si>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</si>
  <si>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</si>
  <si>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</si>
  <si>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</si>
  <si>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</si>
  <si>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</si>
  <si>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</si>
  <si>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</si>
  <si>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</si>
  <si>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</si>
  <si>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</si>
  <si>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</si>
  <si>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</si>
  <si>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</si>
  <si>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</si>
  <si>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</si>
  <si>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</si>
  <si>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</si>
  <si>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</si>
  <si>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</si>
  <si>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</si>
  <si>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</si>
  <si>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</si>
  <si>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</si>
  <si>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</si>
  <si>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</si>
  <si>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</si>
  <si>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</si>
  <si>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</si>
  <si>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</si>
  <si>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</si>
  <si>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</si>
  <si>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</si>
  <si>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</si>
  <si>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</si>
  <si>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</si>
  <si>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</si>
  <si>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</si>
  <si>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</si>
  <si>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</si>
  <si>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</si>
  <si>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</si>
  <si>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</si>
  <si>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</si>
  <si>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</si>
  <si>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</si>
  <si>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</si>
  <si>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</si>
  <si>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</si>
  <si>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</si>
  <si>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</si>
  <si>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</si>
  <si>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</si>
  <si>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</si>
  <si>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</si>
  <si>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</si>
  <si>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</si>
  <si>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</si>
  <si>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</si>
  <si>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</si>
  <si>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</si>
  <si>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</si>
  <si>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</si>
  <si>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</si>
  <si>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</si>
  <si>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</si>
  <si>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</si>
  <si>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</si>
  <si>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</si>
  <si>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</si>
  <si>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</si>
  <si>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</si>
  <si>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</si>
  <si>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</si>
  <si>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</si>
  <si>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</si>
  <si>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</si>
  <si>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</si>
  <si>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</si>
  <si>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</si>
  <si>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</si>
  <si>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</si>
  <si>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</si>
  <si>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</si>
  <si>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</si>
  <si>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</si>
  <si>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</si>
  <si>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</si>
  <si>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</si>
  <si>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</si>
  <si>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</si>
  <si>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</si>
  <si>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</si>
  <si>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</si>
  <si>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</si>
  <si>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</si>
  <si>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</si>
  <si>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</si>
  <si>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</si>
  <si>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</si>
  <si>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</si>
  <si>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</si>
  <si>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</si>
  <si>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</si>
  <si>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</si>
  <si>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</si>
  <si>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</si>
  <si>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</si>
  <si>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</si>
  <si>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</si>
  <si>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</si>
  <si>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</si>
  <si>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</si>
  <si>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</si>
  <si>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</si>
  <si>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</si>
  <si>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</si>
  <si>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</si>
  <si>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</si>
  <si>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</si>
  <si>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</si>
  <si>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</si>
  <si>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</si>
  <si>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</si>
  <si>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</si>
  <si>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</si>
  <si>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</si>
  <si>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</si>
  <si>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</si>
  <si>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</si>
  <si>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</si>
  <si>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</si>
  <si>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</si>
  <si>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</si>
  <si>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</si>
  <si>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</si>
  <si>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</si>
  <si>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</si>
  <si>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</si>
  <si>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</si>
  <si>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</si>
  <si>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</si>
  <si>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</si>
  <si>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</si>
  <si>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</si>
  <si>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</si>
  <si>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</si>
  <si>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</si>
  <si>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</si>
  <si>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</si>
  <si>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</si>
  <si>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</si>
  <si>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</si>
  <si>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</si>
  <si>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</si>
  <si>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</si>
  <si>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</si>
  <si>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</si>
  <si>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</si>
  <si>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</si>
  <si>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</si>
  <si>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</si>
  <si>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</si>
  <si>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</si>
  <si>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</si>
  <si>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</si>
  <si>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</si>
  <si>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</si>
  <si>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</si>
  <si>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</si>
  <si>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</si>
  <si>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</si>
  <si>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</si>
  <si>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</si>
  <si>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</si>
  <si>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</si>
  <si>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</si>
  <si>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</si>
  <si>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</si>
  <si>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</si>
  <si>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</si>
  <si>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</si>
  <si>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</si>
  <si>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</si>
  <si>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</si>
  <si>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</si>
  <si>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</si>
  <si>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</si>
  <si>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</si>
  <si>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</si>
  <si>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</si>
  <si>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</si>
  <si>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</si>
  <si>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</si>
  <si>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</si>
  <si>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</si>
  <si>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</si>
  <si>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</si>
  <si>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</si>
  <si>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</si>
  <si>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</si>
  <si>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</si>
  <si>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</si>
  <si>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</si>
  <si>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</si>
  <si>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</si>
  <si>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</si>
  <si>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</si>
  <si>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</si>
  <si>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</si>
  <si>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</si>
  <si>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</si>
  <si>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</si>
  <si>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</si>
  <si>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</si>
  <si>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</si>
  <si>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</si>
  <si>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</si>
  <si>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</si>
  <si>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</si>
  <si>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</si>
  <si>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</si>
  <si>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</si>
  <si>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</si>
  <si>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</si>
  <si>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</si>
  <si>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</si>
  <si>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</si>
  <si>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</si>
  <si>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</si>
  <si>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</si>
  <si>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</si>
  <si>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</si>
  <si>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</si>
  <si>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</si>
  <si>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</si>
  <si>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</si>
  <si>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</si>
  <si>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</si>
  <si>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</si>
  <si>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</si>
  <si>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</si>
  <si>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</si>
  <si>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</si>
  <si>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</si>
  <si>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</si>
  <si>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</si>
  <si>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</si>
  <si>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</si>
  <si>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</si>
  <si>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</si>
  <si>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</si>
  <si>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</si>
  <si>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</si>
  <si>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</si>
  <si>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</si>
  <si>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</si>
  <si>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</si>
  <si>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</si>
  <si>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</si>
  <si>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</si>
  <si>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</si>
  <si>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</si>
  <si>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</si>
  <si>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</si>
  <si>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</si>
  <si>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</si>
  <si>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</si>
  <si>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</si>
  <si>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</si>
  <si>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</si>
  <si>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</si>
  <si>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</si>
  <si>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</si>
  <si>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</si>
  <si>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</si>
  <si>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</si>
  <si>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</si>
  <si>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</si>
  <si>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</si>
  <si>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</si>
  <si>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</si>
  <si>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</si>
  <si>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</si>
  <si>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</si>
  <si>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</si>
  <si>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</si>
  <si>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</si>
  <si>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</si>
  <si>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</si>
  <si>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</si>
  <si>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</si>
  <si>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</si>
  <si>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</si>
  <si>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</si>
  <si>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</si>
  <si>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</si>
  <si>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</si>
  <si>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</si>
  <si>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</si>
  <si>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</si>
  <si>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</si>
  <si>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</si>
  <si>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</si>
  <si>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</si>
  <si>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</si>
  <si>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</si>
  <si>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</si>
  <si>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</si>
  <si>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</si>
  <si>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</si>
  <si>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</si>
  <si>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</si>
  <si>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</si>
  <si>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</si>
  <si>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</si>
  <si>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</si>
  <si>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</si>
  <si>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</si>
  <si>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</si>
  <si>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</si>
  <si>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</si>
  <si>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</si>
  <si>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</si>
  <si>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</si>
  <si>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</si>
  <si>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</si>
  <si>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</si>
  <si>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</si>
  <si>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</si>
  <si>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</si>
  <si>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</si>
  <si>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</si>
  <si>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</si>
  <si>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</si>
  <si>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</si>
  <si>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</si>
  <si>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</si>
  <si>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</si>
  <si>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</si>
  <si>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</si>
  <si>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</si>
  <si>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</si>
  <si>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</si>
  <si>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</si>
  <si>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</si>
  <si>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</si>
  <si>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</si>
  <si>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</si>
  <si>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</si>
  <si>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</si>
  <si>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</si>
  <si>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</si>
  <si>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</si>
  <si>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</si>
  <si>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</si>
  <si>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</si>
  <si>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</si>
  <si>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</si>
  <si>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</si>
  <si>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</si>
  <si>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</si>
  <si>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</si>
  <si>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</si>
  <si>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</si>
  <si>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</si>
  <si>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</si>
  <si>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</si>
  <si>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</si>
  <si>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</si>
  <si>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</si>
  <si>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</si>
  <si>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</si>
  <si>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</si>
  <si>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</si>
  <si>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</si>
  <si>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</si>
  <si>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</si>
  <si>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</si>
  <si>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</si>
  <si>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</si>
  <si>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</si>
  <si>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</si>
  <si>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</si>
  <si>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</si>
  <si>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</si>
  <si>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</si>
  <si>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</si>
  <si>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</si>
  <si>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</si>
  <si>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</si>
  <si>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</si>
  <si>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</si>
  <si>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</si>
  <si>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</si>
  <si>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</si>
  <si>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</si>
  <si>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</si>
  <si>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</si>
  <si>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</si>
  <si>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</si>
  <si>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</si>
  <si>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</si>
  <si>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</si>
  <si>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</si>
  <si>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</si>
  <si>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</si>
  <si>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</si>
  <si>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</si>
  <si>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</si>
  <si>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</si>
  <si>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</si>
  <si>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</si>
  <si>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</si>
  <si>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</si>
  <si>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</si>
  <si>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</si>
  <si>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</si>
  <si>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</si>
  <si>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</si>
  <si>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</si>
  <si>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</si>
  <si>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</si>
  <si>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</si>
  <si>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</si>
  <si>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</si>
  <si>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</si>
  <si>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</si>
  <si>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</si>
  <si>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</si>
  <si>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</si>
  <si>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</si>
  <si>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</si>
  <si>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</si>
  <si>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</si>
  <si>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</si>
  <si>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</si>
  <si>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</si>
  <si>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</si>
  <si>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</si>
  <si>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</si>
  <si>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</si>
  <si>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</si>
  <si>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</si>
  <si>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</si>
  <si>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</si>
  <si>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</si>
  <si>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</si>
  <si>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</si>
  <si>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</si>
  <si>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</si>
  <si>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</si>
  <si>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</si>
  <si>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</si>
  <si>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</si>
  <si>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</si>
  <si>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</si>
  <si>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</si>
  <si>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</si>
  <si>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</si>
  <si>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</si>
  <si>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</si>
  <si>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</si>
  <si>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</si>
  <si>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</si>
  <si>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</si>
  <si>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</si>
  <si>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</si>
  <si>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</si>
  <si>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</si>
  <si>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</si>
  <si>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</si>
  <si>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</si>
  <si>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</si>
  <si>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</si>
  <si>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</si>
  <si>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</si>
  <si>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</si>
  <si>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</si>
  <si>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</si>
  <si>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</si>
  <si>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</si>
  <si>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</si>
  <si>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</si>
  <si>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</si>
  <si>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</si>
  <si>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</si>
  <si>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</si>
  <si>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</si>
  <si>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</si>
  <si>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</si>
  <si>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</si>
  <si>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</si>
  <si>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</si>
  <si>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</si>
  <si>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</si>
  <si>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</si>
  <si>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</si>
  <si>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</si>
  <si>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</si>
  <si>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</si>
  <si>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</si>
  <si>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</si>
  <si>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</si>
  <si>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</si>
  <si>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</si>
  <si>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</si>
  <si>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</si>
  <si>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</si>
  <si>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</si>
  <si>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</si>
  <si>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</si>
  <si>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</si>
  <si>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</si>
  <si>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</si>
  <si>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</si>
  <si>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</si>
  <si>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</si>
  <si>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</si>
  <si>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</si>
  <si>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</si>
  <si>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</si>
  <si>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</si>
  <si>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</si>
  <si>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</si>
  <si>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</si>
  <si>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</si>
  <si>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</si>
  <si>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</si>
  <si>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</si>
  <si>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</si>
  <si>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</si>
  <si>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</si>
  <si>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</si>
  <si>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</si>
  <si>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</si>
  <si>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</si>
  <si>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</si>
  <si>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</si>
  <si>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</si>
  <si>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</si>
  <si>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</si>
  <si>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</si>
  <si>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</si>
  <si>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</si>
  <si>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</si>
  <si>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</si>
  <si>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</si>
  <si>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</si>
  <si>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</si>
  <si>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</si>
  <si>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</si>
  <si>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</si>
  <si>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</si>
  <si>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</si>
  <si>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</si>
  <si>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</si>
  <si>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</si>
  <si>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</si>
  <si>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</si>
  <si>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</si>
  <si>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</si>
  <si>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</si>
  <si>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</si>
  <si>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</si>
  <si>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</si>
  <si>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</si>
  <si>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</si>
  <si>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</si>
  <si>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</si>
  <si>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</si>
  <si>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</si>
  <si>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</si>
  <si>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</si>
  <si>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</si>
  <si>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</si>
  <si>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</si>
  <si>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</si>
  <si>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</si>
  <si>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</si>
  <si>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</si>
  <si>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</si>
  <si>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</si>
  <si>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</si>
  <si>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</si>
  <si>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</si>
  <si>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</si>
  <si>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</si>
  <si>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</si>
  <si>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</si>
  <si>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</si>
  <si>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</si>
  <si>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</si>
  <si>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</si>
  <si>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</si>
  <si>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</si>
  <si>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</si>
  <si>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</si>
  <si>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</si>
  <si>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</si>
  <si>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</si>
  <si>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</si>
  <si>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</si>
  <si>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</si>
  <si>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</si>
  <si>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</si>
  <si>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</si>
  <si>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</si>
  <si>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</si>
  <si>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</si>
  <si>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</si>
  <si>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</si>
  <si>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</si>
  <si>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</si>
  <si>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</si>
  <si>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</si>
  <si>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</si>
  <si>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</si>
  <si>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</si>
  <si>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</si>
  <si>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</si>
  <si>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</si>
  <si>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</si>
  <si>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</si>
  <si>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</si>
  <si>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</si>
  <si>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</si>
  <si>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</si>
  <si>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</si>
  <si>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</si>
  <si>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</si>
  <si>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</si>
  <si>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</si>
  <si>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</si>
  <si>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</si>
  <si>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</si>
  <si>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</si>
  <si>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</si>
  <si>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</si>
  <si>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</si>
  <si>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</si>
  <si>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</si>
  <si>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</si>
  <si>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</si>
  <si>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</si>
  <si>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</si>
  <si>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</si>
  <si>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</si>
  <si>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</si>
  <si>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</si>
  <si>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</si>
  <si>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</si>
  <si>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</si>
  <si>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</si>
  <si>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</si>
  <si>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</si>
  <si>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</si>
  <si>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</si>
  <si>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</si>
  <si>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</si>
  <si>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</si>
  <si>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</si>
  <si>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</si>
  <si>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</si>
  <si>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</si>
  <si>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</si>
  <si>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</si>
  <si>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</si>
  <si>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</si>
  <si>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</si>
  <si>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</si>
  <si>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</si>
  <si>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</si>
  <si>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</si>
  <si>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</si>
  <si>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</si>
  <si>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</si>
  <si>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</si>
  <si>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</si>
  <si>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</si>
  <si>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</si>
  <si>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</si>
  <si>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</si>
  <si>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</si>
  <si>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</si>
  <si>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</si>
  <si>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</si>
  <si>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</si>
  <si>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</si>
  <si>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</si>
  <si>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</si>
  <si>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</si>
  <si>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</si>
  <si>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</si>
  <si>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</si>
  <si>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</si>
  <si>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</si>
  <si>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</si>
  <si>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</si>
  <si>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</si>
  <si>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</si>
  <si>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</si>
  <si>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</si>
  <si>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</si>
  <si>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</si>
  <si>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</si>
  <si>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田园初中</t>
  </si>
  <si>
    <t>2023年镇级单位中小学教育教学项目（普教一科）</t>
    <phoneticPr fontId="3" type="noConversion"/>
  </si>
  <si>
    <t>体育课程</t>
    <phoneticPr fontId="3" type="noConversion"/>
  </si>
  <si>
    <t>颛桥</t>
    <phoneticPr fontId="3" type="noConversion"/>
  </si>
  <si>
    <t>颛桥中学（区体质中心）</t>
    <phoneticPr fontId="3" type="noConversion"/>
  </si>
  <si>
    <t>跨学科学习空间</t>
    <phoneticPr fontId="3" type="noConversion"/>
  </si>
  <si>
    <t>姓名</t>
  </si>
  <si>
    <t>合计</t>
    <phoneticPr fontId="4" type="noConversion"/>
  </si>
  <si>
    <t>学校性质</t>
  </si>
  <si>
    <r>
      <rPr>
        <sz val="12"/>
        <rFont val="宋体"/>
        <family val="3"/>
        <charset val="134"/>
      </rPr>
      <t>用地面积[m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]</t>
    </r>
  </si>
  <si>
    <r>
      <rPr>
        <sz val="12"/>
        <rFont val="宋体"/>
        <family val="3"/>
        <charset val="134"/>
      </rPr>
      <t>建筑面积[m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]</t>
    </r>
  </si>
  <si>
    <r>
      <rPr>
        <sz val="12"/>
        <rFont val="宋体"/>
        <family val="3"/>
        <charset val="134"/>
      </rPr>
      <t>绿化面积[m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]</t>
    </r>
  </si>
  <si>
    <t>管理现状</t>
  </si>
  <si>
    <t>绿化养护费用（元/年）</t>
  </si>
  <si>
    <t>暂由闵房集团管理</t>
  </si>
  <si>
    <t>中标价</t>
    <phoneticPr fontId="3" type="noConversion"/>
  </si>
  <si>
    <t>合计</t>
    <phoneticPr fontId="3" type="noConversion"/>
  </si>
  <si>
    <t>9-12月</t>
    <phoneticPr fontId="3" type="noConversion"/>
  </si>
  <si>
    <t>2023年局管闵行区空置校舍经费预算表</t>
    <phoneticPr fontId="3" type="noConversion"/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</si>
  <si>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</si>
  <si>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</si>
  <si>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</si>
  <si>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</si>
  <si>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</si>
  <si>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陈吴若雁</t>
  </si>
  <si>
    <t>颛桥镇</t>
    <phoneticPr fontId="3" type="noConversion"/>
  </si>
  <si>
    <t>储备教师</t>
  </si>
  <si>
    <t>朱奕捷</t>
  </si>
  <si>
    <t>干露泽</t>
  </si>
  <si>
    <t>吕沛珍</t>
  </si>
  <si>
    <t>王沛丁丁</t>
  </si>
  <si>
    <t>徐亚伟</t>
  </si>
  <si>
    <t>李勤</t>
  </si>
  <si>
    <t>2023年储备教师预算（8-12月）</t>
    <phoneticPr fontId="3" type="noConversion"/>
  </si>
  <si>
    <t>颛桥镇二幼</t>
    <phoneticPr fontId="4" type="noConversion"/>
  </si>
  <si>
    <t>田园中学</t>
    <phoneticPr fontId="4" type="noConversion"/>
  </si>
  <si>
    <t>田园幼儿园</t>
    <phoneticPr fontId="4" type="noConversion"/>
  </si>
  <si>
    <t>一次分配</t>
    <phoneticPr fontId="4" type="noConversion"/>
  </si>
  <si>
    <t>四次分配</t>
    <phoneticPr fontId="4" type="noConversion"/>
  </si>
  <si>
    <t>　　　　　　(1)上下班交通费补贴</t>
    <phoneticPr fontId="4" type="noConversion"/>
  </si>
  <si>
    <t>　　　　1、工伤保险费0.5%</t>
    <phoneticPr fontId="4" type="noConversion"/>
  </si>
  <si>
    <t>根据社保口径按实编制</t>
    <phoneticPr fontId="4" type="noConversion"/>
  </si>
  <si>
    <t>　　　　2、失业保险0.5%</t>
    <phoneticPr fontId="4" type="noConversion"/>
  </si>
  <si>
    <t>根据人保科数字编制</t>
    <phoneticPr fontId="4" type="noConversion"/>
  </si>
  <si>
    <t>　　　　3、工作餐补贴</t>
    <phoneticPr fontId="4" type="noConversion"/>
  </si>
  <si>
    <t>　　　　4、课后服务(在编人员）</t>
    <phoneticPr fontId="4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</si>
  <si>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4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</si>
  <si>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4" type="noConversion"/>
  </si>
  <si>
    <t>根据相关口径按实编制</t>
    <phoneticPr fontId="4" type="noConversion"/>
  </si>
  <si>
    <t>　　　　1、基本养老保险16%</t>
    <phoneticPr fontId="4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</si>
  <si>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4" type="noConversion"/>
  </si>
  <si>
    <t>根据人事口径按实编制</t>
    <phoneticPr fontId="4" type="noConversion"/>
  </si>
  <si>
    <t xml:space="preserve">    其他工资福利</t>
    <phoneticPr fontId="4" type="noConversion"/>
  </si>
  <si>
    <t>年初预算为0</t>
    <phoneticPr fontId="4" type="noConversion"/>
  </si>
  <si>
    <t>　　　　1、护理费</t>
    <phoneticPr fontId="4" type="noConversion"/>
  </si>
  <si>
    <t>　　　　2、交通费</t>
    <phoneticPr fontId="4" type="noConversion"/>
  </si>
  <si>
    <t>　　　　3、其他补贴</t>
    <phoneticPr fontId="4" type="noConversion"/>
  </si>
  <si>
    <t xml:space="preserve">    退休费</t>
    <phoneticPr fontId="4" type="noConversion"/>
  </si>
  <si>
    <t>根据退休人员情况按实编制</t>
    <phoneticPr fontId="4" type="noConversion"/>
  </si>
  <si>
    <t xml:space="preserve">        1、退休人员生活补贴</t>
    <phoneticPr fontId="4" type="noConversion"/>
  </si>
  <si>
    <t>　　　　1、其他</t>
    <phoneticPr fontId="4" type="noConversion"/>
  </si>
  <si>
    <t xml:space="preserve">       其中：培训费</t>
    <phoneticPr fontId="4" type="noConversion"/>
  </si>
  <si>
    <t>主款项</t>
    <phoneticPr fontId="4" type="noConversion"/>
  </si>
  <si>
    <t>生均定额5%</t>
    <phoneticPr fontId="4" type="noConversion"/>
  </si>
  <si>
    <t>教职工人数*400元标准内按实填列</t>
    <phoneticPr fontId="4" type="noConversion"/>
  </si>
  <si>
    <t>房屋面积*15元标准内按实填列</t>
    <phoneticPr fontId="4" type="noConversion"/>
  </si>
  <si>
    <t>绿化面积*8元标准内按实填列</t>
    <phoneticPr fontId="4" type="noConversion"/>
  </si>
  <si>
    <t>　　(五)福利费</t>
    <phoneticPr fontId="4" type="noConversion"/>
  </si>
  <si>
    <t>　　　　1、在职福利费</t>
    <phoneticPr fontId="4" type="noConversion"/>
  </si>
  <si>
    <t>教职工人数*4320元</t>
    <phoneticPr fontId="4" type="noConversion"/>
  </si>
  <si>
    <t>　　　　2、离退休福利费</t>
    <phoneticPr fontId="4" type="noConversion"/>
  </si>
  <si>
    <t>离退休人数*4320元</t>
    <phoneticPr fontId="4" type="noConversion"/>
  </si>
  <si>
    <t>　　(六)工会经费</t>
    <phoneticPr fontId="4" type="noConversion"/>
  </si>
  <si>
    <t>根据工会口径按实编制</t>
    <phoneticPr fontId="4" type="noConversion"/>
  </si>
  <si>
    <t>　　(七)公务用车运行维护费★</t>
    <phoneticPr fontId="4" type="noConversion"/>
  </si>
  <si>
    <t>机关局有编制的车辆数*32000元/年标准内填列（分园及分校预算在其他交通费中编制）</t>
    <phoneticPr fontId="4" type="noConversion"/>
  </si>
  <si>
    <t>　　(八)其他商品和服务支出</t>
    <phoneticPr fontId="4" type="noConversion"/>
  </si>
  <si>
    <t>　　　　1、离退休公用支出</t>
    <phoneticPr fontId="4" type="noConversion"/>
  </si>
  <si>
    <t>离退休人数*400元/年标准内按实填列</t>
    <phoneticPr fontId="4" type="noConversion"/>
  </si>
  <si>
    <t>　　　　2、子女幼托费</t>
    <phoneticPr fontId="4" type="noConversion"/>
  </si>
  <si>
    <t>按人事口径实填列</t>
    <phoneticPr fontId="4" type="noConversion"/>
  </si>
  <si>
    <t>　　(九)其他交通费用</t>
    <phoneticPr fontId="4" type="noConversion"/>
  </si>
  <si>
    <t xml:space="preserve">
机关局无编制车辆的学校按32000元编制预算
机关局有编制的车辆，每分校增加10000元，每个分园增加5000元标准内填列</t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</si>
  <si>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</si>
  <si>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</si>
  <si>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</si>
  <si>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</si>
  <si>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</si>
  <si>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</si>
  <si>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颛桥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</si>
  <si>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</si>
  <si>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</si>
  <si>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</si>
  <si>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</si>
  <si>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</si>
  <si>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</si>
  <si>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</si>
  <si>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</si>
  <si>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颛桥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</si>
  <si>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</si>
  <si>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</si>
  <si>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</si>
  <si>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</si>
  <si>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</si>
  <si>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</si>
  <si>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</si>
  <si>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</si>
  <si>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</si>
  <si>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</si>
  <si>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</si>
  <si>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社保原因</t>
    <phoneticPr fontId="3" type="noConversion"/>
  </si>
  <si>
    <t>附加三次承担</t>
    <phoneticPr fontId="3" type="noConversion"/>
  </si>
  <si>
    <t>附加三次承担</t>
    <phoneticPr fontId="3" type="noConversion"/>
  </si>
  <si>
    <t>颛桥小计</t>
    <phoneticPr fontId="3" type="noConversion"/>
  </si>
  <si>
    <t>-</t>
  </si>
  <si>
    <t>2023年君莲学校专项维修工程</t>
  </si>
  <si>
    <t>统筹四次承担</t>
    <phoneticPr fontId="3" type="noConversion"/>
  </si>
  <si>
    <t>附加三次承担</t>
    <phoneticPr fontId="3" type="noConversion"/>
  </si>
  <si>
    <t>总投资
（元）</t>
    <phoneticPr fontId="3" type="noConversion"/>
  </si>
  <si>
    <t>建安费
（元）</t>
    <phoneticPr fontId="3" type="noConversion"/>
  </si>
  <si>
    <t>施工合同价
（元）</t>
    <phoneticPr fontId="3" type="noConversion"/>
  </si>
  <si>
    <t>工程审定价
（元）</t>
    <phoneticPr fontId="3" type="noConversion"/>
  </si>
  <si>
    <t>二类费用
（元）</t>
    <phoneticPr fontId="3" type="noConversion"/>
  </si>
  <si>
    <t>应执行
金额费用（元）</t>
    <phoneticPr fontId="3" type="noConversion"/>
  </si>
  <si>
    <t>已执行
金额费用（元）</t>
    <phoneticPr fontId="3" type="noConversion"/>
  </si>
  <si>
    <t>尾款清算
金额费用（元）</t>
    <phoneticPr fontId="3" type="noConversion"/>
  </si>
  <si>
    <t>2023年镇级单位尾款清算预算表</t>
    <phoneticPr fontId="3" type="noConversion"/>
  </si>
  <si>
    <t>2023年绩效预估（在编人员调整预算用）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</si>
  <si>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</si>
  <si>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</si>
  <si>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</si>
  <si>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</si>
  <si>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</si>
  <si>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</si>
  <si>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审价未出以合同价计算</t>
    <phoneticPr fontId="3" type="noConversion"/>
  </si>
  <si>
    <t>2023年基本支出调整预算表（颛桥）</t>
    <phoneticPr fontId="4" type="noConversion"/>
  </si>
  <si>
    <t>2023年教育统筹经费第四次分配明细表</t>
    <phoneticPr fontId="3" type="noConversion"/>
  </si>
  <si>
    <t>单位：元</t>
    <phoneticPr fontId="4" type="noConversion"/>
  </si>
  <si>
    <t>序号</t>
    <phoneticPr fontId="4" type="noConversion"/>
  </si>
  <si>
    <t>项目</t>
    <phoneticPr fontId="4" type="noConversion"/>
  </si>
  <si>
    <t>四次分配合计</t>
    <phoneticPr fontId="3" type="noConversion"/>
  </si>
  <si>
    <t>其中：教育局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</si>
  <si>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</si>
  <si>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</si>
  <si>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</si>
  <si>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</si>
  <si>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</si>
  <si>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残疾就业保障</t>
    <phoneticPr fontId="3" type="noConversion"/>
  </si>
  <si>
    <t>补充公用经费</t>
    <phoneticPr fontId="3" type="noConversion"/>
  </si>
  <si>
    <t>设备购置与更新</t>
  </si>
  <si>
    <t>中小学教育教学</t>
  </si>
  <si>
    <t>科艺体德专项</t>
  </si>
  <si>
    <t>抚恤金</t>
    <phoneticPr fontId="3" type="noConversion"/>
  </si>
  <si>
    <t>储备教师</t>
    <phoneticPr fontId="3" type="noConversion"/>
  </si>
  <si>
    <t>未开办学校物业管理（区级代管）</t>
    <phoneticPr fontId="3" type="noConversion"/>
  </si>
  <si>
    <t>颛桥镇：</t>
    <phoneticPr fontId="4" type="noConversion"/>
  </si>
</sst>
</file>

<file path=xl/styles.xml><?xml version="1.0" encoding="utf-8"?>
<styleSheet xmlns="http://schemas.openxmlformats.org/spreadsheetml/2006/main">
  <numFmts count="16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</numFmts>
  <fonts count="143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vertAlign val="superscript"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064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189" fontId="60" fillId="3" borderId="1" xfId="1228" applyNumberFormat="1" applyFont="1" applyFill="1" applyBorder="1" applyAlignment="1">
      <alignment horizontal="left" vertical="center" wrapText="1"/>
    </xf>
    <xf numFmtId="0" fontId="72" fillId="0" borderId="1" xfId="0" applyFont="1" applyBorder="1" applyAlignment="1">
      <alignment horizontal="left" vertical="center"/>
    </xf>
    <xf numFmtId="0" fontId="59" fillId="0" borderId="1" xfId="0" applyFont="1" applyBorder="1" applyAlignment="1">
      <alignment vertical="center"/>
    </xf>
    <xf numFmtId="0" fontId="59" fillId="0" borderId="24" xfId="0" applyFont="1" applyBorder="1" applyAlignment="1">
      <alignment horizontal="center" vertical="center"/>
    </xf>
    <xf numFmtId="0" fontId="72" fillId="0" borderId="24" xfId="0" applyFont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23" fillId="3" borderId="15" xfId="0" applyFont="1" applyFill="1" applyBorder="1" applyAlignment="1">
      <alignment horizontal="center" vertical="center" readingOrder="1"/>
    </xf>
    <xf numFmtId="0" fontId="23" fillId="0" borderId="15" xfId="0" applyFont="1" applyBorder="1" applyAlignment="1">
      <alignment horizontal="center" vertical="center" readingOrder="1"/>
    </xf>
    <xf numFmtId="0" fontId="23" fillId="0" borderId="15" xfId="0" applyFont="1" applyBorder="1" applyAlignment="1">
      <alignment horizontal="center" vertical="center" wrapText="1" readingOrder="1"/>
    </xf>
    <xf numFmtId="0" fontId="0" fillId="0" borderId="15" xfId="0" applyBorder="1" applyAlignment="1">
      <alignment horizontal="center" vertical="center" readingOrder="1"/>
    </xf>
    <xf numFmtId="0" fontId="115" fillId="0" borderId="15" xfId="2012" applyFont="1" applyBorder="1" applyAlignment="1">
      <alignment horizontal="center" vertical="center" wrapText="1" readingOrder="1"/>
    </xf>
    <xf numFmtId="0" fontId="115" fillId="0" borderId="15" xfId="2012" applyFont="1" applyBorder="1" applyAlignment="1">
      <alignment horizontal="left" vertical="center" wrapText="1" readingOrder="1"/>
    </xf>
    <xf numFmtId="0" fontId="136" fillId="0" borderId="15" xfId="0" applyFont="1" applyBorder="1" applyAlignment="1">
      <alignment horizontal="left" vertical="center" wrapText="1" readingOrder="1"/>
    </xf>
    <xf numFmtId="0" fontId="136" fillId="0" borderId="15" xfId="0" applyFont="1" applyBorder="1" applyAlignment="1">
      <alignment horizontal="center" vertical="center" wrapText="1" readingOrder="1"/>
    </xf>
    <xf numFmtId="178" fontId="0" fillId="0" borderId="15" xfId="0" applyNumberFormat="1" applyBorder="1" applyAlignment="1">
      <alignment horizontal="center" vertical="center"/>
    </xf>
    <xf numFmtId="0" fontId="136" fillId="0" borderId="15" xfId="0" applyFont="1" applyBorder="1" applyAlignment="1">
      <alignment horizontal="center" vertical="center" wrapText="1"/>
    </xf>
    <xf numFmtId="0" fontId="115" fillId="0" borderId="15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horizontal="center" vertical="center"/>
    </xf>
    <xf numFmtId="178" fontId="4" fillId="3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protection locked="0"/>
    </xf>
    <xf numFmtId="178" fontId="8" fillId="3" borderId="1" xfId="0" applyNumberFormat="1" applyFont="1" applyFill="1" applyBorder="1" applyAlignment="1" applyProtection="1"/>
    <xf numFmtId="178" fontId="8" fillId="3" borderId="1" xfId="0" applyNumberFormat="1" applyFont="1" applyFill="1" applyBorder="1" applyAlignment="1" applyProtection="1">
      <alignment horizontal="center" wrapText="1"/>
      <protection locked="0"/>
    </xf>
    <xf numFmtId="49" fontId="8" fillId="3" borderId="1" xfId="0" applyNumberFormat="1" applyFont="1" applyFill="1" applyBorder="1" applyAlignment="1" applyProtection="1">
      <alignment horizontal="center" wrapText="1"/>
      <protection locked="0"/>
    </xf>
    <xf numFmtId="49" fontId="4" fillId="3" borderId="1" xfId="0" applyNumberFormat="1" applyFont="1" applyFill="1" applyBorder="1" applyAlignment="1" applyProtection="1">
      <alignment horizontal="center"/>
      <protection locked="0"/>
    </xf>
    <xf numFmtId="0" fontId="71" fillId="0" borderId="1" xfId="0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178" fontId="60" fillId="29" borderId="16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0" fontId="4" fillId="29" borderId="1" xfId="0" applyNumberFormat="1" applyFont="1" applyFill="1" applyBorder="1" applyAlignment="1">
      <alignment horizontal="center" vertical="center"/>
    </xf>
    <xf numFmtId="184" fontId="137" fillId="0" borderId="0" xfId="0" applyNumberFormat="1" applyFont="1" applyFill="1" applyAlignment="1">
      <alignment horizontal="center" vertical="center" wrapText="1"/>
    </xf>
    <xf numFmtId="184" fontId="18" fillId="0" borderId="15" xfId="0" applyNumberFormat="1" applyFont="1" applyFill="1" applyBorder="1" applyAlignment="1">
      <alignment horizontal="center" vertical="center" wrapText="1"/>
    </xf>
    <xf numFmtId="184" fontId="115" fillId="0" borderId="15" xfId="1123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horizontal="center" vertical="center" wrapText="1"/>
    </xf>
    <xf numFmtId="178" fontId="18" fillId="0" borderId="15" xfId="0" applyNumberFormat="1" applyFont="1" applyFill="1" applyBorder="1" applyAlignment="1">
      <alignment horizontal="center" vertical="center" wrapText="1"/>
    </xf>
    <xf numFmtId="184" fontId="18" fillId="0" borderId="14" xfId="0" applyNumberFormat="1" applyFont="1" applyFill="1" applyBorder="1" applyAlignment="1">
      <alignment horizontal="center" vertical="center" wrapText="1"/>
    </xf>
    <xf numFmtId="178" fontId="18" fillId="0" borderId="14" xfId="0" applyNumberFormat="1" applyFont="1" applyFill="1" applyBorder="1" applyAlignment="1">
      <alignment horizontal="center" vertical="center" wrapText="1"/>
    </xf>
    <xf numFmtId="184" fontId="137" fillId="0" borderId="0" xfId="0" applyNumberFormat="1" applyFont="1" applyFill="1" applyBorder="1" applyAlignment="1">
      <alignment horizontal="center" vertical="center" wrapText="1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0" fontId="87" fillId="3" borderId="1" xfId="0" applyFont="1" applyFill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56" fillId="0" borderId="0" xfId="0" applyFont="1">
      <alignment vertical="center"/>
    </xf>
    <xf numFmtId="0" fontId="139" fillId="0" borderId="0" xfId="0" applyNumberFormat="1" applyFont="1" applyBorder="1" applyAlignment="1">
      <alignment horizontal="right" vertical="center"/>
    </xf>
    <xf numFmtId="0" fontId="140" fillId="0" borderId="1" xfId="0" applyNumberFormat="1" applyFont="1" applyBorder="1" applyAlignment="1">
      <alignment horizontal="center" vertical="center"/>
    </xf>
    <xf numFmtId="0" fontId="140" fillId="0" borderId="1" xfId="0" applyNumberFormat="1" applyFont="1" applyFill="1" applyBorder="1" applyAlignment="1">
      <alignment horizontal="center" vertical="center"/>
    </xf>
    <xf numFmtId="178" fontId="141" fillId="0" borderId="1" xfId="0" applyNumberFormat="1" applyFont="1" applyBorder="1">
      <alignment vertical="center"/>
    </xf>
    <xf numFmtId="178" fontId="142" fillId="0" borderId="1" xfId="0" applyNumberFormat="1" applyFont="1" applyBorder="1">
      <alignment vertical="center"/>
    </xf>
    <xf numFmtId="178" fontId="140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38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39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0" fontId="108" fillId="0" borderId="15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9" fillId="0" borderId="15" xfId="1123" applyFont="1" applyFill="1" applyBorder="1" applyAlignment="1">
      <alignment horizontal="center" vertical="center"/>
    </xf>
    <xf numFmtId="0" fontId="71" fillId="0" borderId="15" xfId="0" applyFont="1" applyBorder="1" applyAlignment="1">
      <alignment horizontal="center" vertical="center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90" fillId="0" borderId="15" xfId="0" applyFont="1" applyFill="1" applyBorder="1" applyAlignment="1">
      <alignment horizontal="center" vertical="center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113" fillId="0" borderId="15" xfId="0" applyFont="1" applyFill="1" applyBorder="1" applyAlignment="1">
      <alignment horizontal="center" vertical="center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7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left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74" fillId="0" borderId="15" xfId="0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178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184" fontId="137" fillId="0" borderId="4" xfId="0" applyNumberFormat="1" applyFont="1" applyFill="1" applyBorder="1" applyAlignment="1">
      <alignment horizontal="center" vertical="center" wrapText="1"/>
    </xf>
    <xf numFmtId="0" fontId="137" fillId="0" borderId="4" xfId="0" applyFont="1" applyBorder="1" applyAlignment="1">
      <alignment horizontal="center" vertical="center" wrapText="1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1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5910;&#22238;%20(1)\2023\2023&#24180;&#35843;&#25972;&#39044;&#31639;\2023&#24180;&#35843;&#25972;&#39044;&#31639;\&#39067;&#26725;\2023&#24180;&#35843;&#25972;&#39044;&#31639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调整预算表"/>
      <sheetName val="生均公用定额标准"/>
      <sheetName val="其他定额标准"/>
      <sheetName val="明细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7">
          <cell r="E17">
            <v>599120</v>
          </cell>
        </row>
      </sheetData>
      <sheetData sheetId="8"/>
      <sheetData sheetId="9"/>
      <sheetData sheetId="10">
        <row r="2">
          <cell r="H2">
            <v>124740</v>
          </cell>
        </row>
        <row r="3">
          <cell r="H3">
            <v>106986</v>
          </cell>
        </row>
        <row r="4">
          <cell r="H4">
            <v>276</v>
          </cell>
        </row>
        <row r="5">
          <cell r="H5">
            <v>23760</v>
          </cell>
        </row>
        <row r="6">
          <cell r="H6">
            <v>1940.1899999999998</v>
          </cell>
        </row>
        <row r="7">
          <cell r="H7">
            <v>6063.0099999999993</v>
          </cell>
        </row>
        <row r="8">
          <cell r="H8">
            <v>115249.79999999999</v>
          </cell>
        </row>
        <row r="9">
          <cell r="H9">
            <v>700</v>
          </cell>
        </row>
        <row r="10">
          <cell r="H10">
            <v>9270</v>
          </cell>
        </row>
        <row r="11">
          <cell r="H11">
            <v>200017.05999999997</v>
          </cell>
        </row>
        <row r="12">
          <cell r="H12">
            <v>97005.900000000009</v>
          </cell>
        </row>
        <row r="14">
          <cell r="H14">
            <v>85026</v>
          </cell>
        </row>
        <row r="15">
          <cell r="H15">
            <v>0</v>
          </cell>
        </row>
        <row r="16">
          <cell r="H16">
            <v>0</v>
          </cell>
        </row>
        <row r="17">
          <cell r="H17">
            <v>65880</v>
          </cell>
        </row>
        <row r="23">
          <cell r="H23">
            <v>2467821</v>
          </cell>
        </row>
        <row r="24">
          <cell r="H24">
            <v>2102739</v>
          </cell>
        </row>
        <row r="25">
          <cell r="H25">
            <v>6526</v>
          </cell>
        </row>
        <row r="26">
          <cell r="H26">
            <v>480480</v>
          </cell>
        </row>
        <row r="27">
          <cell r="H27">
            <v>53033.569999999992</v>
          </cell>
        </row>
        <row r="28">
          <cell r="H28">
            <v>103582.18000000002</v>
          </cell>
        </row>
        <row r="29">
          <cell r="H29">
            <v>2071607.4900000002</v>
          </cell>
        </row>
        <row r="30">
          <cell r="H30">
            <v>56052</v>
          </cell>
        </row>
        <row r="31">
          <cell r="H31">
            <v>153450</v>
          </cell>
        </row>
        <row r="32">
          <cell r="H32">
            <v>3314566.1199999996</v>
          </cell>
        </row>
        <row r="33">
          <cell r="H33">
            <v>1657307.4</v>
          </cell>
        </row>
        <row r="34">
          <cell r="H34">
            <v>558500</v>
          </cell>
        </row>
        <row r="35">
          <cell r="H35">
            <v>1462782</v>
          </cell>
        </row>
        <row r="36">
          <cell r="H36">
            <v>2160</v>
          </cell>
        </row>
        <row r="37">
          <cell r="H37">
            <v>3700</v>
          </cell>
        </row>
        <row r="38">
          <cell r="H38">
            <v>853435</v>
          </cell>
        </row>
        <row r="44">
          <cell r="H44">
            <v>5237501.9399999995</v>
          </cell>
        </row>
        <row r="45">
          <cell r="H45">
            <v>3456357.6</v>
          </cell>
        </row>
        <row r="46">
          <cell r="H46">
            <v>10881</v>
          </cell>
        </row>
        <row r="47">
          <cell r="H47">
            <v>1010680</v>
          </cell>
        </row>
        <row r="48">
          <cell r="H48">
            <v>120753.16</v>
          </cell>
        </row>
        <row r="49">
          <cell r="H49">
            <v>206856.50999999995</v>
          </cell>
        </row>
        <row r="50">
          <cell r="H50">
            <v>4136963.1399999997</v>
          </cell>
        </row>
        <row r="51">
          <cell r="H51">
            <v>41353.83</v>
          </cell>
        </row>
        <row r="52">
          <cell r="H52">
            <v>334790</v>
          </cell>
        </row>
        <row r="53">
          <cell r="H53">
            <v>6619290.2400000002</v>
          </cell>
        </row>
        <row r="54">
          <cell r="H54">
            <v>3309694.24</v>
          </cell>
        </row>
        <row r="55">
          <cell r="H55">
            <v>1182500</v>
          </cell>
        </row>
        <row r="56">
          <cell r="H56">
            <v>2915234</v>
          </cell>
        </row>
        <row r="57">
          <cell r="H57">
            <v>4200</v>
          </cell>
        </row>
        <row r="58">
          <cell r="H58">
            <v>4550</v>
          </cell>
        </row>
        <row r="59">
          <cell r="H59">
            <v>309720</v>
          </cell>
        </row>
        <row r="65">
          <cell r="H65">
            <v>2196124</v>
          </cell>
        </row>
        <row r="66">
          <cell r="H66">
            <v>2049684</v>
          </cell>
        </row>
        <row r="67">
          <cell r="H67">
            <v>7376</v>
          </cell>
        </row>
        <row r="68">
          <cell r="H68">
            <v>422100</v>
          </cell>
        </row>
        <row r="69">
          <cell r="H69">
            <v>42311.14</v>
          </cell>
        </row>
        <row r="70">
          <cell r="H70">
            <v>92231.890000000014</v>
          </cell>
        </row>
        <row r="71">
          <cell r="H71">
            <v>1844609.1800000004</v>
          </cell>
        </row>
        <row r="72">
          <cell r="H72">
            <v>35135</v>
          </cell>
        </row>
        <row r="73">
          <cell r="H73">
            <v>172800</v>
          </cell>
        </row>
        <row r="74">
          <cell r="H74">
            <v>2951369.6000000006</v>
          </cell>
        </row>
        <row r="75">
          <cell r="H75">
            <v>1475705.8000000003</v>
          </cell>
        </row>
        <row r="76">
          <cell r="H76">
            <v>480000</v>
          </cell>
        </row>
        <row r="77">
          <cell r="H77">
            <v>1298754</v>
          </cell>
        </row>
        <row r="78">
          <cell r="H78">
            <v>2580</v>
          </cell>
        </row>
        <row r="79">
          <cell r="H79">
            <v>1000</v>
          </cell>
        </row>
        <row r="80">
          <cell r="H80">
            <v>1396160</v>
          </cell>
        </row>
        <row r="86">
          <cell r="I86">
            <v>1117788</v>
          </cell>
        </row>
        <row r="87">
          <cell r="I87">
            <v>739182</v>
          </cell>
        </row>
        <row r="88">
          <cell r="I88">
            <v>2568</v>
          </cell>
        </row>
        <row r="89">
          <cell r="I89">
            <v>229680</v>
          </cell>
        </row>
        <row r="90">
          <cell r="I90">
            <v>14324.250000000004</v>
          </cell>
        </row>
        <row r="91">
          <cell r="I91">
            <v>44763.189999999995</v>
          </cell>
        </row>
        <row r="92">
          <cell r="I92">
            <v>895250.26999999979</v>
          </cell>
        </row>
        <row r="94">
          <cell r="I94">
            <v>73000</v>
          </cell>
        </row>
        <row r="95">
          <cell r="I95">
            <v>1438646.8599999999</v>
          </cell>
        </row>
        <row r="96">
          <cell r="I96">
            <v>720897.6</v>
          </cell>
        </row>
        <row r="97">
          <cell r="I97">
            <v>261000</v>
          </cell>
        </row>
        <row r="98">
          <cell r="I98">
            <v>631998</v>
          </cell>
        </row>
        <row r="99">
          <cell r="I99">
            <v>3240</v>
          </cell>
        </row>
        <row r="100">
          <cell r="I100">
            <v>2350</v>
          </cell>
        </row>
        <row r="101">
          <cell r="I101">
            <v>13020</v>
          </cell>
        </row>
        <row r="107">
          <cell r="I107">
            <v>363156</v>
          </cell>
        </row>
        <row r="108">
          <cell r="I108">
            <v>174800</v>
          </cell>
        </row>
        <row r="109">
          <cell r="I109">
            <v>564</v>
          </cell>
        </row>
        <row r="110">
          <cell r="I110">
            <v>76120</v>
          </cell>
        </row>
        <row r="111">
          <cell r="I111">
            <v>7340.59</v>
          </cell>
        </row>
        <row r="112">
          <cell r="I112">
            <v>13519.43</v>
          </cell>
        </row>
        <row r="113">
          <cell r="I113">
            <v>250002.94</v>
          </cell>
        </row>
        <row r="114">
          <cell r="I114">
            <v>0</v>
          </cell>
        </row>
        <row r="115">
          <cell r="I115">
            <v>23205</v>
          </cell>
        </row>
        <row r="116">
          <cell r="I116">
            <v>432528.36</v>
          </cell>
        </row>
        <row r="117">
          <cell r="I117">
            <v>216266.02000000002</v>
          </cell>
        </row>
        <row r="118">
          <cell r="I118">
            <v>86500</v>
          </cell>
        </row>
        <row r="119">
          <cell r="I119">
            <v>191162</v>
          </cell>
        </row>
        <row r="120">
          <cell r="I120">
            <v>720</v>
          </cell>
        </row>
        <row r="121">
          <cell r="I121">
            <v>1770</v>
          </cell>
        </row>
        <row r="122">
          <cell r="I122">
            <v>0</v>
          </cell>
        </row>
        <row r="128">
          <cell r="I128">
            <v>1468907</v>
          </cell>
        </row>
        <row r="129">
          <cell r="I129">
            <v>1109390</v>
          </cell>
        </row>
        <row r="130">
          <cell r="I130">
            <v>4390</v>
          </cell>
        </row>
        <row r="131">
          <cell r="I131">
            <v>298760</v>
          </cell>
        </row>
        <row r="132">
          <cell r="I132">
            <v>35679.67</v>
          </cell>
        </row>
        <row r="133">
          <cell r="I133">
            <v>61074.830000000009</v>
          </cell>
        </row>
        <row r="134">
          <cell r="I134">
            <v>1141620.1600000001</v>
          </cell>
        </row>
        <row r="135">
          <cell r="I135">
            <v>10800</v>
          </cell>
        </row>
        <row r="136">
          <cell r="I136">
            <v>98450</v>
          </cell>
        </row>
        <row r="137">
          <cell r="I137">
            <v>1954389.57</v>
          </cell>
        </row>
        <row r="138">
          <cell r="I138">
            <v>977210.44</v>
          </cell>
        </row>
        <row r="139">
          <cell r="I139">
            <v>311000</v>
          </cell>
        </row>
        <row r="140">
          <cell r="I140">
            <v>859498</v>
          </cell>
        </row>
        <row r="141">
          <cell r="I141">
            <v>3600</v>
          </cell>
        </row>
        <row r="142">
          <cell r="I142">
            <v>4500</v>
          </cell>
        </row>
        <row r="143">
          <cell r="I143">
            <v>194725</v>
          </cell>
        </row>
        <row r="148">
          <cell r="I148">
            <v>1110384</v>
          </cell>
        </row>
        <row r="149">
          <cell r="I149">
            <v>702696</v>
          </cell>
        </row>
        <row r="150">
          <cell r="I150">
            <v>10803</v>
          </cell>
        </row>
        <row r="151">
          <cell r="I151">
            <v>212520</v>
          </cell>
        </row>
        <row r="152">
          <cell r="I152">
            <v>22200.97</v>
          </cell>
        </row>
        <row r="153">
          <cell r="I153">
            <v>43361.72</v>
          </cell>
        </row>
        <row r="154">
          <cell r="I154">
            <v>867216.42000000016</v>
          </cell>
        </row>
        <row r="155">
          <cell r="I155">
            <v>1400</v>
          </cell>
        </row>
        <row r="156">
          <cell r="I156">
            <v>70950</v>
          </cell>
        </row>
        <row r="157">
          <cell r="I157">
            <v>1387542.3199999998</v>
          </cell>
        </row>
        <row r="158">
          <cell r="I158">
            <v>693782.79999999993</v>
          </cell>
        </row>
        <row r="159">
          <cell r="I159">
            <v>258000</v>
          </cell>
        </row>
        <row r="160">
          <cell r="I160">
            <v>612288</v>
          </cell>
        </row>
        <row r="161">
          <cell r="I161">
            <v>4320</v>
          </cell>
        </row>
        <row r="162">
          <cell r="I162">
            <v>4700</v>
          </cell>
        </row>
        <row r="163">
          <cell r="I163">
            <v>66540</v>
          </cell>
        </row>
        <row r="169">
          <cell r="I169">
            <v>764918</v>
          </cell>
        </row>
        <row r="170">
          <cell r="I170">
            <v>506662.50000000012</v>
          </cell>
        </row>
        <row r="171">
          <cell r="I171">
            <v>1467</v>
          </cell>
        </row>
        <row r="172">
          <cell r="I172">
            <v>159720</v>
          </cell>
        </row>
        <row r="173">
          <cell r="I173">
            <v>14882.300000000003</v>
          </cell>
        </row>
        <row r="174">
          <cell r="I174">
            <v>29537.65</v>
          </cell>
        </row>
        <row r="175">
          <cell r="I175">
            <v>589475.78999999992</v>
          </cell>
        </row>
        <row r="176">
          <cell r="I176">
            <v>582.67999999999995</v>
          </cell>
        </row>
        <row r="177">
          <cell r="I177">
            <v>51450</v>
          </cell>
        </row>
        <row r="178">
          <cell r="I178">
            <v>945320.57</v>
          </cell>
        </row>
        <row r="179">
          <cell r="I179">
            <v>472667.4</v>
          </cell>
        </row>
        <row r="180">
          <cell r="I180">
            <v>181500</v>
          </cell>
        </row>
        <row r="181">
          <cell r="I181">
            <v>417183</v>
          </cell>
        </row>
        <row r="182">
          <cell r="I182">
            <v>1530</v>
          </cell>
        </row>
        <row r="183">
          <cell r="I183">
            <v>2490</v>
          </cell>
        </row>
        <row r="184">
          <cell r="I184">
            <v>160260</v>
          </cell>
        </row>
        <row r="191">
          <cell r="I191">
            <v>1237304</v>
          </cell>
        </row>
        <row r="192">
          <cell r="I192">
            <v>920559</v>
          </cell>
        </row>
        <row r="193">
          <cell r="I193">
            <v>3344</v>
          </cell>
        </row>
        <row r="194">
          <cell r="I194">
            <v>245960</v>
          </cell>
        </row>
        <row r="195">
          <cell r="I195">
            <v>24904.879999999997</v>
          </cell>
        </row>
        <row r="196">
          <cell r="I196">
            <v>48642.98000000001</v>
          </cell>
        </row>
        <row r="197">
          <cell r="I197">
            <v>1017183.1800000002</v>
          </cell>
        </row>
        <row r="198">
          <cell r="I198">
            <v>6705.36</v>
          </cell>
        </row>
        <row r="199">
          <cell r="I199">
            <v>159180</v>
          </cell>
        </row>
        <row r="200">
          <cell r="I200">
            <v>1556532.48</v>
          </cell>
        </row>
        <row r="201">
          <cell r="I201">
            <v>778281</v>
          </cell>
        </row>
        <row r="202">
          <cell r="I202">
            <v>278100</v>
          </cell>
        </row>
        <row r="203">
          <cell r="I203">
            <v>680248</v>
          </cell>
        </row>
        <row r="204">
          <cell r="I204">
            <v>3150</v>
          </cell>
        </row>
        <row r="205">
          <cell r="I205">
            <v>3600</v>
          </cell>
        </row>
        <row r="206">
          <cell r="I206">
            <v>336935</v>
          </cell>
        </row>
        <row r="214">
          <cell r="I214">
            <v>1447668</v>
          </cell>
        </row>
        <row r="215">
          <cell r="I215">
            <v>757016</v>
          </cell>
        </row>
        <row r="216">
          <cell r="I216">
            <v>2272</v>
          </cell>
        </row>
        <row r="217">
          <cell r="I217">
            <v>293040</v>
          </cell>
        </row>
        <row r="218">
          <cell r="I218">
            <v>21571.45</v>
          </cell>
        </row>
        <row r="219">
          <cell r="I219">
            <v>51987.86</v>
          </cell>
        </row>
        <row r="220">
          <cell r="I220">
            <v>1039745.51</v>
          </cell>
        </row>
        <row r="221">
          <cell r="I221">
            <v>0</v>
          </cell>
        </row>
        <row r="222">
          <cell r="I222">
            <v>95305</v>
          </cell>
        </row>
        <row r="223">
          <cell r="I223">
            <v>1663590.56</v>
          </cell>
        </row>
        <row r="224">
          <cell r="I224">
            <v>831805.9</v>
          </cell>
        </row>
        <row r="226">
          <cell r="I226">
            <v>582602</v>
          </cell>
        </row>
        <row r="227">
          <cell r="I227">
            <v>1800</v>
          </cell>
        </row>
        <row r="228">
          <cell r="I228">
            <v>8300</v>
          </cell>
        </row>
        <row r="229">
          <cell r="I229">
            <v>0</v>
          </cell>
        </row>
        <row r="235">
          <cell r="I235">
            <v>1704091</v>
          </cell>
        </row>
        <row r="236">
          <cell r="I236">
            <v>871757</v>
          </cell>
        </row>
        <row r="237">
          <cell r="I237">
            <v>2000</v>
          </cell>
        </row>
        <row r="238">
          <cell r="I238">
            <v>394680</v>
          </cell>
        </row>
        <row r="239">
          <cell r="I239">
            <v>35048.69</v>
          </cell>
        </row>
        <row r="240">
          <cell r="I240">
            <v>68675.149999999994</v>
          </cell>
        </row>
        <row r="241">
          <cell r="I241">
            <v>1535495.33</v>
          </cell>
        </row>
        <row r="242">
          <cell r="I242">
            <v>0</v>
          </cell>
        </row>
        <row r="243">
          <cell r="I243">
            <v>109080</v>
          </cell>
        </row>
        <row r="244">
          <cell r="I244">
            <v>2467060.59</v>
          </cell>
        </row>
        <row r="245">
          <cell r="I245">
            <v>1384669.79</v>
          </cell>
        </row>
        <row r="247">
          <cell r="I247">
            <v>1145034</v>
          </cell>
        </row>
        <row r="248">
          <cell r="I248">
            <v>3600</v>
          </cell>
        </row>
        <row r="249">
          <cell r="I249">
            <v>2000</v>
          </cell>
        </row>
        <row r="250">
          <cell r="I250">
            <v>41655</v>
          </cell>
        </row>
        <row r="257">
          <cell r="I257">
            <v>3448555</v>
          </cell>
        </row>
        <row r="258">
          <cell r="I258">
            <v>2752018</v>
          </cell>
        </row>
        <row r="259">
          <cell r="I259">
            <v>9789</v>
          </cell>
        </row>
        <row r="260">
          <cell r="I260">
            <v>613800</v>
          </cell>
        </row>
        <row r="261">
          <cell r="I261">
            <v>85336.909999999974</v>
          </cell>
        </row>
        <row r="262">
          <cell r="I262">
            <v>149999.37</v>
          </cell>
        </row>
        <row r="263">
          <cell r="I263">
            <v>3391062.2899999996</v>
          </cell>
        </row>
        <row r="264">
          <cell r="I264">
            <v>69802.62</v>
          </cell>
        </row>
        <row r="265">
          <cell r="I265">
            <v>227000</v>
          </cell>
        </row>
        <row r="266">
          <cell r="I266">
            <v>4801526.4799999995</v>
          </cell>
        </row>
        <row r="267">
          <cell r="I267">
            <v>2374730.2899999996</v>
          </cell>
        </row>
        <row r="268">
          <cell r="I268">
            <v>696500</v>
          </cell>
        </row>
        <row r="269">
          <cell r="I269">
            <v>2115140</v>
          </cell>
        </row>
        <row r="270">
          <cell r="I270">
            <v>6900</v>
          </cell>
        </row>
        <row r="271">
          <cell r="I271">
            <v>6375</v>
          </cell>
        </row>
        <row r="272">
          <cell r="I272">
            <v>1787235</v>
          </cell>
        </row>
        <row r="278">
          <cell r="H278">
            <v>3709652</v>
          </cell>
        </row>
        <row r="279">
          <cell r="H279">
            <v>2416290</v>
          </cell>
        </row>
        <row r="280">
          <cell r="H280">
            <v>7946</v>
          </cell>
        </row>
        <row r="281">
          <cell r="H281">
            <v>717640</v>
          </cell>
        </row>
        <row r="282">
          <cell r="H282">
            <v>78759.880000000019</v>
          </cell>
        </row>
        <row r="283">
          <cell r="H283">
            <v>153827.37999999998</v>
          </cell>
        </row>
        <row r="284">
          <cell r="H284">
            <v>3076543.5700000008</v>
          </cell>
        </row>
        <row r="285">
          <cell r="H285">
            <v>700</v>
          </cell>
        </row>
        <row r="286">
          <cell r="H286">
            <v>255170</v>
          </cell>
        </row>
        <row r="287">
          <cell r="H287">
            <v>4922468.3500000006</v>
          </cell>
        </row>
        <row r="288">
          <cell r="H288">
            <v>2053140.4799999997</v>
          </cell>
        </row>
        <row r="289">
          <cell r="H289">
            <v>815500</v>
          </cell>
        </row>
        <row r="290">
          <cell r="H290">
            <v>2152003</v>
          </cell>
        </row>
        <row r="291">
          <cell r="H291">
            <v>4980</v>
          </cell>
        </row>
        <row r="292">
          <cell r="H292">
            <v>5000</v>
          </cell>
        </row>
        <row r="293">
          <cell r="H293">
            <v>47340</v>
          </cell>
        </row>
        <row r="300">
          <cell r="H300">
            <v>2114631</v>
          </cell>
        </row>
        <row r="301">
          <cell r="H301">
            <v>1666449</v>
          </cell>
        </row>
        <row r="302">
          <cell r="H302">
            <v>5697</v>
          </cell>
        </row>
        <row r="303">
          <cell r="H303">
            <v>393800</v>
          </cell>
        </row>
        <row r="304">
          <cell r="H304">
            <v>28691.420000000006</v>
          </cell>
        </row>
        <row r="305">
          <cell r="H305">
            <v>89660.53</v>
          </cell>
        </row>
        <row r="306">
          <cell r="H306">
            <v>1775011.21</v>
          </cell>
        </row>
        <row r="307">
          <cell r="H307">
            <v>22027.309999999998</v>
          </cell>
        </row>
        <row r="308">
          <cell r="H308">
            <v>146020</v>
          </cell>
        </row>
        <row r="309">
          <cell r="H309">
            <v>2869130.2900000005</v>
          </cell>
        </row>
        <row r="310">
          <cell r="H310">
            <v>1434587.24</v>
          </cell>
        </row>
        <row r="312">
          <cell r="H312">
            <v>1269433</v>
          </cell>
        </row>
        <row r="313">
          <cell r="H313">
            <v>5100</v>
          </cell>
        </row>
        <row r="314">
          <cell r="H314">
            <v>3000</v>
          </cell>
        </row>
        <row r="315">
          <cell r="H315">
            <v>1027655</v>
          </cell>
        </row>
      </sheetData>
      <sheetData sheetId="11">
        <row r="3">
          <cell r="J3">
            <v>23350800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C17" sqref="C17:E17"/>
    </sheetView>
  </sheetViews>
  <sheetFormatPr defaultColWidth="9" defaultRowHeight="13.5"/>
  <cols>
    <col min="1" max="1" width="6.625" style="281" customWidth="1"/>
    <col min="2" max="2" width="31" style="788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789" t="s">
        <v>2410</v>
      </c>
      <c r="B1" s="790"/>
      <c r="C1" s="790"/>
      <c r="D1" s="790"/>
      <c r="E1" s="790"/>
    </row>
    <row r="2" spans="1:5" ht="35.1" customHeight="1">
      <c r="A2" s="791" t="s">
        <v>2429</v>
      </c>
      <c r="B2" s="792"/>
      <c r="E2" s="782" t="s">
        <v>2411</v>
      </c>
    </row>
    <row r="3" spans="1:5" ht="30" customHeight="1">
      <c r="A3" s="783" t="s">
        <v>2412</v>
      </c>
      <c r="B3" s="783" t="s">
        <v>2413</v>
      </c>
      <c r="C3" s="784" t="s">
        <v>2414</v>
      </c>
      <c r="D3" s="784" t="s">
        <v>2415</v>
      </c>
      <c r="E3" s="784" t="s">
        <v>2416</v>
      </c>
    </row>
    <row r="4" spans="1:5" ht="30" customHeight="1">
      <c r="A4" s="783">
        <v>1</v>
      </c>
      <c r="B4" s="783" t="s">
        <v>2417</v>
      </c>
      <c r="C4" s="785">
        <f>颛桥基本支出调整!V4</f>
        <v>16413621.42</v>
      </c>
      <c r="D4" s="785"/>
      <c r="E4" s="786">
        <f t="shared" ref="E4:E16" si="0">C4-D4</f>
        <v>16413621.42</v>
      </c>
    </row>
    <row r="5" spans="1:5" ht="30" customHeight="1">
      <c r="A5" s="783">
        <v>2</v>
      </c>
      <c r="B5" s="783" t="s">
        <v>2418</v>
      </c>
      <c r="C5" s="785">
        <f>颛桥基本支出调整!V42</f>
        <v>3126144.77</v>
      </c>
      <c r="D5" s="785"/>
      <c r="E5" s="786">
        <f t="shared" si="0"/>
        <v>3126144.77</v>
      </c>
    </row>
    <row r="6" spans="1:5" ht="30" customHeight="1">
      <c r="A6" s="783">
        <v>3</v>
      </c>
      <c r="B6" s="783" t="s">
        <v>2419</v>
      </c>
      <c r="C6" s="785">
        <f>颛桥基本支出调整!V31</f>
        <v>6258140</v>
      </c>
      <c r="D6" s="785"/>
      <c r="E6" s="786">
        <f t="shared" si="0"/>
        <v>6258140</v>
      </c>
    </row>
    <row r="7" spans="1:5" ht="30" customHeight="1">
      <c r="A7" s="783">
        <v>4</v>
      </c>
      <c r="B7" s="783" t="s">
        <v>2420</v>
      </c>
      <c r="C7" s="785">
        <v>-15504</v>
      </c>
      <c r="D7" s="785"/>
      <c r="E7" s="786">
        <f t="shared" si="0"/>
        <v>-15504</v>
      </c>
    </row>
    <row r="8" spans="1:5" ht="30" customHeight="1">
      <c r="A8" s="783">
        <v>5</v>
      </c>
      <c r="B8" s="783" t="s">
        <v>2421</v>
      </c>
      <c r="C8" s="785">
        <f>残疾就业保障调整!E18</f>
        <v>-1553385.5700000003</v>
      </c>
      <c r="D8" s="785"/>
      <c r="E8" s="786">
        <f t="shared" si="0"/>
        <v>-1553385.5700000003</v>
      </c>
    </row>
    <row r="9" spans="1:5" ht="30" customHeight="1">
      <c r="A9" s="783">
        <v>6</v>
      </c>
      <c r="B9" s="783" t="s">
        <v>2422</v>
      </c>
      <c r="C9" s="785">
        <f>补充公用经费调整!AV18</f>
        <v>6600121.9000000004</v>
      </c>
      <c r="D9" s="785"/>
      <c r="E9" s="786">
        <f t="shared" si="0"/>
        <v>6600121.9000000004</v>
      </c>
    </row>
    <row r="10" spans="1:5" ht="30" customHeight="1">
      <c r="A10" s="783">
        <v>7</v>
      </c>
      <c r="B10" s="783" t="s">
        <v>2423</v>
      </c>
      <c r="C10" s="785">
        <f>追加设备!I17</f>
        <v>4150000</v>
      </c>
      <c r="D10" s="785"/>
      <c r="E10" s="786">
        <f t="shared" si="0"/>
        <v>4150000</v>
      </c>
    </row>
    <row r="11" spans="1:5" ht="30" customHeight="1">
      <c r="A11" s="783">
        <v>8</v>
      </c>
      <c r="B11" s="783" t="s">
        <v>1722</v>
      </c>
      <c r="C11" s="785">
        <f>'2023尾款清算'!J4</f>
        <v>500590.20000000019</v>
      </c>
      <c r="D11" s="785"/>
      <c r="E11" s="786">
        <f t="shared" si="0"/>
        <v>500590.20000000019</v>
      </c>
    </row>
    <row r="12" spans="1:5" ht="30" customHeight="1">
      <c r="A12" s="783">
        <v>9</v>
      </c>
      <c r="B12" s="783" t="s">
        <v>2424</v>
      </c>
      <c r="C12" s="785">
        <f>普教二科追加!H7</f>
        <v>2000000</v>
      </c>
      <c r="D12" s="785"/>
      <c r="E12" s="786">
        <f t="shared" si="0"/>
        <v>2000000</v>
      </c>
    </row>
    <row r="13" spans="1:5" ht="30" customHeight="1">
      <c r="A13" s="783">
        <v>10</v>
      </c>
      <c r="B13" s="783" t="s">
        <v>2425</v>
      </c>
      <c r="C13" s="785">
        <f>普教一科追加!H7</f>
        <v>800000</v>
      </c>
      <c r="D13" s="785"/>
      <c r="E13" s="786">
        <f t="shared" si="0"/>
        <v>800000</v>
      </c>
    </row>
    <row r="14" spans="1:5" ht="30" customHeight="1">
      <c r="A14" s="783">
        <v>11</v>
      </c>
      <c r="B14" s="783" t="s">
        <v>2426</v>
      </c>
      <c r="C14" s="785">
        <f>抚恤金调整!E7</f>
        <v>107352</v>
      </c>
      <c r="D14" s="785"/>
      <c r="E14" s="786">
        <f t="shared" si="0"/>
        <v>107352</v>
      </c>
    </row>
    <row r="15" spans="1:5" ht="30" customHeight="1">
      <c r="A15" s="783">
        <v>12</v>
      </c>
      <c r="B15" s="783" t="s">
        <v>2427</v>
      </c>
      <c r="C15" s="785">
        <f>储备教师!H10</f>
        <v>728100</v>
      </c>
      <c r="D15" s="785">
        <f>C15</f>
        <v>728100</v>
      </c>
      <c r="E15" s="786">
        <f t="shared" si="0"/>
        <v>0</v>
      </c>
    </row>
    <row r="16" spans="1:5" ht="30" customHeight="1">
      <c r="A16" s="783">
        <v>13</v>
      </c>
      <c r="B16" s="783" t="s">
        <v>2428</v>
      </c>
      <c r="C16" s="785">
        <f>'未开办学校物业管理（区级代管）'!O4</f>
        <v>61487.75</v>
      </c>
      <c r="D16" s="785">
        <f>C16</f>
        <v>61487.75</v>
      </c>
      <c r="E16" s="786">
        <f t="shared" si="0"/>
        <v>0</v>
      </c>
    </row>
    <row r="17" spans="1:5" ht="30" customHeight="1">
      <c r="A17" s="783"/>
      <c r="B17" s="783" t="s">
        <v>2281</v>
      </c>
      <c r="C17" s="787">
        <f>SUM(C4:C16)</f>
        <v>39176668.470000006</v>
      </c>
      <c r="D17" s="787">
        <f t="shared" ref="D17:E17" si="1">SUM(D4:D16)</f>
        <v>789587.75</v>
      </c>
      <c r="E17" s="787">
        <f t="shared" si="1"/>
        <v>38387080.720000006</v>
      </c>
    </row>
    <row r="18" spans="1:5" ht="30" customHeight="1"/>
    <row r="19" spans="1:5" ht="30" customHeight="1"/>
  </sheetData>
  <mergeCells count="2">
    <mergeCell ref="A1:E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793" t="s">
        <v>532</v>
      </c>
      <c r="B1" s="794"/>
      <c r="C1" s="794"/>
      <c r="D1" s="794"/>
      <c r="E1" s="795"/>
      <c r="F1" s="795"/>
      <c r="G1" s="795"/>
      <c r="H1" s="795"/>
      <c r="I1" s="795"/>
      <c r="J1" s="795"/>
      <c r="K1" s="795"/>
      <c r="L1" s="795"/>
      <c r="M1" s="795"/>
      <c r="N1" s="79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798" t="s">
        <v>664</v>
      </c>
      <c r="B1" s="799"/>
      <c r="C1" s="799"/>
      <c r="D1" s="799"/>
      <c r="E1" s="799"/>
      <c r="F1" s="799"/>
      <c r="G1" s="799"/>
      <c r="H1" s="799"/>
      <c r="I1" s="799"/>
      <c r="J1" s="799"/>
      <c r="K1" s="799"/>
      <c r="L1" s="799"/>
      <c r="M1" s="799"/>
      <c r="N1" s="799"/>
      <c r="O1" s="799"/>
      <c r="P1" s="799"/>
      <c r="Q1" s="799"/>
    </row>
    <row r="2" spans="1:17" s="155" customFormat="1">
      <c r="A2" s="800" t="s">
        <v>594</v>
      </c>
      <c r="B2" s="802" t="s">
        <v>635</v>
      </c>
      <c r="C2" s="802" t="s">
        <v>1</v>
      </c>
      <c r="D2" s="803" t="s">
        <v>636</v>
      </c>
      <c r="E2" s="804" t="s">
        <v>637</v>
      </c>
      <c r="F2" s="796" t="s">
        <v>653</v>
      </c>
      <c r="G2" s="797"/>
      <c r="H2" s="797"/>
      <c r="I2" s="797"/>
      <c r="J2" s="796" t="s">
        <v>652</v>
      </c>
      <c r="K2" s="797"/>
      <c r="L2" s="797"/>
      <c r="M2" s="797"/>
      <c r="N2" s="796" t="s">
        <v>666</v>
      </c>
      <c r="O2" s="797"/>
      <c r="P2" s="797"/>
      <c r="Q2" s="797"/>
    </row>
    <row r="3" spans="1:17" ht="22.5">
      <c r="A3" s="801"/>
      <c r="B3" s="801"/>
      <c r="C3" s="801"/>
      <c r="D3" s="801"/>
      <c r="E3" s="801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805" t="s">
        <v>0</v>
      </c>
      <c r="B1" s="806"/>
      <c r="C1" s="806"/>
      <c r="D1" s="806"/>
      <c r="E1" s="806"/>
      <c r="F1" s="806"/>
      <c r="G1" s="806"/>
      <c r="H1" s="806"/>
      <c r="I1" s="806"/>
      <c r="J1" s="806"/>
      <c r="K1" s="80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807" t="s">
        <v>0</v>
      </c>
      <c r="B1" s="808"/>
      <c r="C1" s="808"/>
      <c r="D1" s="808"/>
      <c r="E1" s="808"/>
      <c r="F1" s="808"/>
      <c r="G1" s="808"/>
      <c r="H1" s="808"/>
      <c r="I1" s="808"/>
      <c r="J1" s="808"/>
      <c r="K1" s="808"/>
      <c r="L1" s="808"/>
      <c r="M1" s="80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805" t="s">
        <v>264</v>
      </c>
      <c r="B1" s="806"/>
      <c r="C1" s="806"/>
      <c r="D1" s="806"/>
      <c r="E1" s="806"/>
      <c r="F1" s="806"/>
      <c r="G1" s="806"/>
      <c r="H1" s="806"/>
      <c r="I1" s="806"/>
      <c r="J1" s="806"/>
      <c r="K1" s="806"/>
      <c r="L1" s="806"/>
      <c r="M1" s="806"/>
      <c r="N1" s="806"/>
      <c r="O1" s="806"/>
      <c r="P1" s="806"/>
      <c r="Q1" s="806"/>
      <c r="R1" s="806"/>
      <c r="S1" s="806"/>
      <c r="T1" s="806"/>
      <c r="U1" s="806"/>
      <c r="V1" s="806"/>
      <c r="W1" s="806"/>
      <c r="X1" s="806"/>
      <c r="Y1" s="806"/>
      <c r="Z1" s="80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809" t="s">
        <v>669</v>
      </c>
      <c r="B1" s="809"/>
      <c r="C1" s="809"/>
      <c r="D1" s="809"/>
      <c r="E1" s="809"/>
      <c r="F1" s="809"/>
      <c r="G1" s="809"/>
      <c r="H1" s="809"/>
      <c r="I1" s="809"/>
      <c r="J1" s="809"/>
      <c r="K1" s="809"/>
      <c r="L1" s="809"/>
      <c r="M1" s="809"/>
      <c r="N1" s="809"/>
      <c r="O1" s="809"/>
      <c r="P1" s="809"/>
      <c r="Q1" s="809"/>
      <c r="R1" s="809"/>
      <c r="S1" s="809"/>
      <c r="T1" s="809"/>
      <c r="U1" s="809"/>
      <c r="V1" s="809"/>
      <c r="W1" s="809"/>
      <c r="X1" s="809"/>
      <c r="Y1" s="80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805" t="s">
        <v>0</v>
      </c>
      <c r="B1" s="806"/>
      <c r="C1" s="806"/>
      <c r="D1" s="806"/>
      <c r="E1" s="806"/>
      <c r="F1" s="806"/>
      <c r="G1" s="806"/>
      <c r="H1" s="806"/>
      <c r="I1" s="806"/>
      <c r="J1" s="806"/>
      <c r="K1" s="806"/>
      <c r="L1" s="806"/>
      <c r="M1" s="806"/>
      <c r="N1" s="806"/>
      <c r="O1" s="806"/>
      <c r="P1" s="806"/>
      <c r="Q1" s="806"/>
      <c r="R1" s="806"/>
      <c r="S1" s="806"/>
      <c r="T1" s="806"/>
      <c r="U1" s="806"/>
      <c r="V1" s="806"/>
      <c r="W1" s="806"/>
      <c r="X1" s="80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805" t="s">
        <v>0</v>
      </c>
      <c r="B1" s="806"/>
      <c r="C1" s="806"/>
      <c r="D1" s="806"/>
      <c r="E1" s="806"/>
      <c r="F1" s="806"/>
      <c r="G1" s="806"/>
      <c r="H1" s="806"/>
      <c r="I1" s="806"/>
      <c r="J1" s="806"/>
      <c r="K1" s="806"/>
      <c r="L1" s="806"/>
      <c r="M1" s="806"/>
      <c r="N1" s="806"/>
      <c r="O1" s="806"/>
      <c r="P1" s="806"/>
      <c r="Q1" s="806"/>
      <c r="R1" s="80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805" t="s">
        <v>0</v>
      </c>
      <c r="B1" s="806"/>
      <c r="C1" s="806"/>
      <c r="D1" s="806"/>
      <c r="E1" s="806"/>
      <c r="F1" s="806"/>
      <c r="G1" s="806"/>
      <c r="H1" s="806"/>
      <c r="I1" s="806"/>
      <c r="J1" s="806"/>
      <c r="K1" s="806"/>
      <c r="L1" s="806"/>
      <c r="M1" s="806"/>
      <c r="N1" s="80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10" t="s">
        <v>335</v>
      </c>
      <c r="B1" s="811"/>
      <c r="C1" s="811"/>
      <c r="D1" s="811"/>
      <c r="E1" s="811"/>
      <c r="F1" s="811"/>
      <c r="G1" s="811"/>
      <c r="H1" s="811"/>
      <c r="I1" s="811"/>
      <c r="J1" s="811"/>
      <c r="K1" s="811"/>
      <c r="L1" s="811"/>
      <c r="M1" s="811"/>
      <c r="N1" s="811"/>
      <c r="O1" s="811"/>
      <c r="P1" s="811"/>
      <c r="Q1" s="811"/>
      <c r="R1" s="811"/>
      <c r="S1" s="811"/>
      <c r="T1" s="811"/>
      <c r="U1" s="81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807" t="s">
        <v>265</v>
      </c>
      <c r="B1" s="808"/>
      <c r="C1" s="808"/>
      <c r="D1" s="808"/>
      <c r="E1" s="808"/>
      <c r="F1" s="808"/>
      <c r="G1" s="808"/>
      <c r="H1" s="808"/>
      <c r="I1" s="808"/>
      <c r="J1" s="808"/>
      <c r="K1" s="808"/>
      <c r="L1" s="808"/>
      <c r="M1" s="808"/>
      <c r="N1" s="808"/>
      <c r="O1" s="808"/>
      <c r="P1" s="80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12" t="s">
        <v>488</v>
      </c>
      <c r="B1" s="812"/>
      <c r="C1" s="812"/>
      <c r="D1" s="812"/>
      <c r="E1" s="812"/>
      <c r="F1" s="812"/>
      <c r="G1" s="81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15" t="s">
        <v>544</v>
      </c>
      <c r="B1" s="816"/>
      <c r="C1" s="816"/>
      <c r="D1" s="816"/>
      <c r="E1" s="816"/>
      <c r="F1" s="816"/>
      <c r="G1" s="816"/>
      <c r="H1" s="816"/>
      <c r="I1" s="816"/>
    </row>
    <row r="2" spans="1:9" ht="22.5">
      <c r="A2" s="147" t="s">
        <v>621</v>
      </c>
      <c r="B2" s="814" t="s">
        <v>622</v>
      </c>
      <c r="C2" s="814"/>
      <c r="D2" s="814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13" t="s">
        <v>634</v>
      </c>
      <c r="C3" s="813"/>
      <c r="D3" s="813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13" t="s">
        <v>629</v>
      </c>
      <c r="C4" s="813"/>
      <c r="D4" s="81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13" t="s">
        <v>630</v>
      </c>
      <c r="C5" s="813"/>
      <c r="D5" s="813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13" t="s">
        <v>632</v>
      </c>
      <c r="C6" s="813"/>
      <c r="D6" s="813"/>
      <c r="E6" s="152"/>
      <c r="F6" s="152"/>
      <c r="G6" s="152"/>
      <c r="H6" s="154"/>
      <c r="I6" s="154">
        <f>I5</f>
        <v>476250</v>
      </c>
    </row>
    <row r="7" spans="1:9">
      <c r="A7" s="152"/>
      <c r="B7" s="813" t="s">
        <v>633</v>
      </c>
      <c r="C7" s="813"/>
      <c r="D7" s="81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17" t="s">
        <v>620</v>
      </c>
      <c r="B1" s="817"/>
      <c r="C1" s="817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19"/>
      <c r="B1" s="820"/>
      <c r="C1" s="820"/>
      <c r="D1" s="820"/>
      <c r="E1" s="820"/>
      <c r="F1" s="820"/>
      <c r="G1" s="820"/>
      <c r="H1" s="820"/>
      <c r="I1" s="820"/>
      <c r="J1" s="820"/>
      <c r="K1" s="820"/>
      <c r="L1" s="820"/>
      <c r="M1" s="820"/>
      <c r="N1" s="820"/>
      <c r="O1" s="820"/>
      <c r="P1" s="820"/>
      <c r="Q1" s="820"/>
      <c r="R1" s="820"/>
      <c r="S1" s="820"/>
      <c r="T1" s="820"/>
      <c r="U1" s="820"/>
      <c r="V1" s="820"/>
      <c r="W1" s="820"/>
      <c r="X1" s="820"/>
      <c r="Y1" s="820"/>
      <c r="Z1" s="820"/>
      <c r="AA1" s="820"/>
    </row>
    <row r="2" spans="1:28" ht="39.950000000000003" customHeight="1">
      <c r="A2" s="821" t="s">
        <v>594</v>
      </c>
      <c r="B2" s="818" t="s">
        <v>595</v>
      </c>
      <c r="C2" s="818" t="s">
        <v>596</v>
      </c>
      <c r="D2" s="818" t="s">
        <v>597</v>
      </c>
      <c r="E2" s="818"/>
      <c r="F2" s="818"/>
      <c r="G2" s="818"/>
      <c r="H2" s="818"/>
      <c r="I2" s="823" t="s">
        <v>598</v>
      </c>
      <c r="J2" s="823"/>
      <c r="K2" s="823"/>
      <c r="L2" s="823"/>
      <c r="M2" s="823"/>
      <c r="N2" s="823" t="s">
        <v>599</v>
      </c>
      <c r="O2" s="823"/>
      <c r="P2" s="823"/>
      <c r="Q2" s="823"/>
      <c r="R2" s="823"/>
      <c r="S2" s="818" t="s">
        <v>615</v>
      </c>
      <c r="T2" s="818"/>
      <c r="U2" s="818"/>
      <c r="V2" s="818"/>
      <c r="W2" s="818"/>
      <c r="X2" s="818"/>
      <c r="Y2" s="818"/>
      <c r="Z2" s="818"/>
      <c r="AA2" s="818"/>
    </row>
    <row r="3" spans="1:28" ht="39.950000000000003" customHeight="1">
      <c r="A3" s="822"/>
      <c r="B3" s="818"/>
      <c r="C3" s="818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24" t="s">
        <v>1071</v>
      </c>
      <c r="B1" s="824"/>
      <c r="C1" s="824"/>
      <c r="D1" s="824"/>
      <c r="E1" s="824"/>
      <c r="F1" s="824"/>
      <c r="G1" s="824"/>
      <c r="H1" s="824"/>
      <c r="I1" s="824"/>
      <c r="J1" s="824"/>
      <c r="K1" s="824"/>
      <c r="L1" s="824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25" t="s">
        <v>1209</v>
      </c>
      <c r="B1" s="825"/>
      <c r="C1" s="825"/>
      <c r="D1" s="825"/>
      <c r="E1" s="825"/>
      <c r="F1" s="825"/>
      <c r="G1" s="825"/>
      <c r="H1" s="825"/>
      <c r="I1" s="825"/>
    </row>
    <row r="2" spans="1:9" s="327" customFormat="1">
      <c r="A2" s="826" t="s">
        <v>1210</v>
      </c>
      <c r="B2" s="826" t="s">
        <v>1211</v>
      </c>
      <c r="C2" s="826" t="s">
        <v>1212</v>
      </c>
      <c r="D2" s="826" t="s">
        <v>1213</v>
      </c>
      <c r="E2" s="826" t="s">
        <v>1214</v>
      </c>
      <c r="F2" s="827" t="s">
        <v>1215</v>
      </c>
      <c r="G2" s="826" t="s">
        <v>1216</v>
      </c>
      <c r="H2" s="827" t="s">
        <v>1217</v>
      </c>
      <c r="I2" s="828" t="s">
        <v>1218</v>
      </c>
    </row>
    <row r="3" spans="1:9" s="327" customFormat="1">
      <c r="A3" s="826"/>
      <c r="B3" s="826"/>
      <c r="C3" s="826"/>
      <c r="D3" s="826"/>
      <c r="E3" s="826"/>
      <c r="F3" s="827"/>
      <c r="G3" s="826"/>
      <c r="H3" s="827"/>
      <c r="I3" s="828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34" t="s">
        <v>1361</v>
      </c>
      <c r="B1" s="834"/>
      <c r="C1" s="834"/>
      <c r="D1" s="834"/>
      <c r="E1" s="834"/>
      <c r="F1" s="834"/>
      <c r="G1" s="834"/>
      <c r="H1" s="834"/>
      <c r="I1" s="834"/>
      <c r="J1" s="835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45">
        <v>1</v>
      </c>
      <c r="B3" s="847" t="s">
        <v>1368</v>
      </c>
      <c r="C3" s="847" t="s">
        <v>1369</v>
      </c>
      <c r="D3" s="847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32">
        <f>ROUND(I50*0.8,0)</f>
        <v>1831887</v>
      </c>
    </row>
    <row r="4" spans="1:10" ht="18" customHeight="1">
      <c r="A4" s="845"/>
      <c r="B4" s="847"/>
      <c r="C4" s="847"/>
      <c r="D4" s="847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33"/>
    </row>
    <row r="5" spans="1:10" ht="18" customHeight="1">
      <c r="A5" s="845"/>
      <c r="B5" s="847"/>
      <c r="C5" s="847"/>
      <c r="D5" s="847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33"/>
    </row>
    <row r="6" spans="1:10" ht="18" customHeight="1">
      <c r="A6" s="845"/>
      <c r="B6" s="847"/>
      <c r="C6" s="847"/>
      <c r="D6" s="847"/>
      <c r="E6" s="848" t="s">
        <v>1375</v>
      </c>
      <c r="F6" s="845" t="s">
        <v>1376</v>
      </c>
      <c r="G6" s="379">
        <v>12</v>
      </c>
      <c r="H6" s="379">
        <v>280</v>
      </c>
      <c r="I6" s="846">
        <f>SUMPRODUCT(G6:G11,H6:H11)</f>
        <v>43420</v>
      </c>
      <c r="J6" s="833"/>
    </row>
    <row r="7" spans="1:10" ht="18" customHeight="1">
      <c r="A7" s="845"/>
      <c r="B7" s="847"/>
      <c r="C7" s="847"/>
      <c r="D7" s="847"/>
      <c r="E7" s="848"/>
      <c r="F7" s="845"/>
      <c r="G7" s="379">
        <v>16</v>
      </c>
      <c r="H7" s="379">
        <v>360</v>
      </c>
      <c r="I7" s="846"/>
      <c r="J7" s="833"/>
    </row>
    <row r="8" spans="1:10" ht="18" customHeight="1">
      <c r="A8" s="845"/>
      <c r="B8" s="847"/>
      <c r="C8" s="847"/>
      <c r="D8" s="847"/>
      <c r="E8" s="848"/>
      <c r="F8" s="845"/>
      <c r="G8" s="379">
        <v>26</v>
      </c>
      <c r="H8" s="379">
        <v>150</v>
      </c>
      <c r="I8" s="846"/>
      <c r="J8" s="833"/>
    </row>
    <row r="9" spans="1:10" ht="18" customHeight="1">
      <c r="A9" s="845"/>
      <c r="B9" s="847"/>
      <c r="C9" s="847"/>
      <c r="D9" s="847"/>
      <c r="E9" s="848"/>
      <c r="F9" s="845"/>
      <c r="G9" s="379">
        <v>90</v>
      </c>
      <c r="H9" s="379">
        <v>160</v>
      </c>
      <c r="I9" s="846"/>
      <c r="J9" s="833"/>
    </row>
    <row r="10" spans="1:10" ht="18" customHeight="1">
      <c r="A10" s="845"/>
      <c r="B10" s="847"/>
      <c r="C10" s="847"/>
      <c r="D10" s="847"/>
      <c r="E10" s="848"/>
      <c r="F10" s="845"/>
      <c r="G10" s="379">
        <v>90</v>
      </c>
      <c r="H10" s="379">
        <v>130</v>
      </c>
      <c r="I10" s="846"/>
      <c r="J10" s="833"/>
    </row>
    <row r="11" spans="1:10" ht="18" customHeight="1">
      <c r="A11" s="845"/>
      <c r="B11" s="847"/>
      <c r="C11" s="847"/>
      <c r="D11" s="847"/>
      <c r="E11" s="848"/>
      <c r="F11" s="845"/>
      <c r="G11" s="379">
        <v>86</v>
      </c>
      <c r="H11" s="379">
        <v>50</v>
      </c>
      <c r="I11" s="846"/>
      <c r="J11" s="833"/>
    </row>
    <row r="12" spans="1:10" ht="18" customHeight="1">
      <c r="A12" s="845"/>
      <c r="B12" s="847"/>
      <c r="C12" s="847"/>
      <c r="D12" s="847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33"/>
    </row>
    <row r="13" spans="1:10" ht="18" customHeight="1">
      <c r="A13" s="845"/>
      <c r="B13" s="847"/>
      <c r="C13" s="847"/>
      <c r="D13" s="843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33"/>
    </row>
    <row r="14" spans="1:10" ht="18" customHeight="1">
      <c r="A14" s="845"/>
      <c r="B14" s="847"/>
      <c r="C14" s="847"/>
      <c r="D14" s="843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33"/>
    </row>
    <row r="15" spans="1:10" ht="18" customHeight="1">
      <c r="A15" s="845"/>
      <c r="B15" s="847"/>
      <c r="C15" s="847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33"/>
    </row>
    <row r="16" spans="1:10" ht="18" customHeight="1">
      <c r="A16" s="845"/>
      <c r="B16" s="847"/>
      <c r="C16" s="847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33"/>
    </row>
    <row r="17" spans="1:66" ht="18" customHeight="1">
      <c r="A17" s="845"/>
      <c r="B17" s="847"/>
      <c r="C17" s="847"/>
      <c r="D17" s="842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33"/>
    </row>
    <row r="18" spans="1:66" ht="18" customHeight="1">
      <c r="A18" s="845"/>
      <c r="B18" s="847"/>
      <c r="C18" s="847"/>
      <c r="D18" s="842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33"/>
    </row>
    <row r="19" spans="1:66" ht="18" customHeight="1">
      <c r="A19" s="845"/>
      <c r="B19" s="847"/>
      <c r="C19" s="847"/>
      <c r="D19" s="842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33"/>
    </row>
    <row r="20" spans="1:66" ht="18" customHeight="1">
      <c r="A20" s="845"/>
      <c r="B20" s="847"/>
      <c r="C20" s="847"/>
      <c r="D20" s="842" t="s">
        <v>1391</v>
      </c>
      <c r="E20" s="377" t="s">
        <v>1392</v>
      </c>
      <c r="F20" s="383" t="s">
        <v>1376</v>
      </c>
      <c r="G20" s="845">
        <v>1</v>
      </c>
      <c r="H20" s="845">
        <v>10000</v>
      </c>
      <c r="I20" s="846">
        <f t="shared" ref="I20:I26" si="1">H20*G20</f>
        <v>10000</v>
      </c>
      <c r="J20" s="833"/>
    </row>
    <row r="21" spans="1:66" ht="18" customHeight="1">
      <c r="A21" s="845"/>
      <c r="B21" s="847"/>
      <c r="C21" s="847"/>
      <c r="D21" s="842"/>
      <c r="E21" s="377" t="s">
        <v>1393</v>
      </c>
      <c r="F21" s="378" t="s">
        <v>1372</v>
      </c>
      <c r="G21" s="845"/>
      <c r="H21" s="845"/>
      <c r="I21" s="846"/>
      <c r="J21" s="833"/>
    </row>
    <row r="22" spans="1:66" ht="18" customHeight="1">
      <c r="A22" s="845"/>
      <c r="B22" s="847"/>
      <c r="C22" s="847"/>
      <c r="D22" s="842" t="s">
        <v>1394</v>
      </c>
      <c r="E22" s="849" t="s">
        <v>1395</v>
      </c>
      <c r="F22" s="852" t="s">
        <v>1372</v>
      </c>
      <c r="G22" s="384">
        <v>4002.77</v>
      </c>
      <c r="H22" s="379">
        <v>60</v>
      </c>
      <c r="I22" s="561">
        <f t="shared" si="1"/>
        <v>240166.2</v>
      </c>
      <c r="J22" s="833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45"/>
      <c r="B23" s="847"/>
      <c r="C23" s="847"/>
      <c r="D23" s="842"/>
      <c r="E23" s="850"/>
      <c r="F23" s="853"/>
      <c r="G23" s="384">
        <v>2</v>
      </c>
      <c r="H23" s="379">
        <v>5000</v>
      </c>
      <c r="I23" s="561">
        <f t="shared" si="1"/>
        <v>10000</v>
      </c>
      <c r="J23" s="833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45"/>
      <c r="B24" s="847"/>
      <c r="C24" s="847"/>
      <c r="D24" s="842"/>
      <c r="E24" s="851"/>
      <c r="F24" s="854"/>
      <c r="G24" s="384">
        <v>180</v>
      </c>
      <c r="H24" s="379">
        <v>60</v>
      </c>
      <c r="I24" s="561">
        <f t="shared" si="1"/>
        <v>10800</v>
      </c>
      <c r="J24" s="833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45"/>
      <c r="B25" s="847"/>
      <c r="C25" s="847"/>
      <c r="D25" s="842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33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45"/>
      <c r="B26" s="847"/>
      <c r="C26" s="847"/>
      <c r="D26" s="842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33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45"/>
      <c r="B27" s="847"/>
      <c r="C27" s="847"/>
      <c r="D27" s="842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33"/>
    </row>
    <row r="28" spans="1:66" ht="18" customHeight="1">
      <c r="A28" s="845"/>
      <c r="B28" s="847"/>
      <c r="C28" s="847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33"/>
    </row>
    <row r="29" spans="1:66" ht="18" customHeight="1">
      <c r="A29" s="845"/>
      <c r="B29" s="847"/>
      <c r="C29" s="847"/>
      <c r="D29" s="842" t="s">
        <v>1400</v>
      </c>
      <c r="E29" s="842" t="s">
        <v>1400</v>
      </c>
      <c r="F29" s="843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33"/>
    </row>
    <row r="30" spans="1:66" ht="18" customHeight="1">
      <c r="A30" s="845"/>
      <c r="B30" s="847"/>
      <c r="C30" s="847"/>
      <c r="D30" s="842"/>
      <c r="E30" s="842"/>
      <c r="F30" s="843"/>
      <c r="G30" s="384">
        <v>114</v>
      </c>
      <c r="H30" s="389">
        <v>80</v>
      </c>
      <c r="I30" s="560">
        <f t="shared" si="2"/>
        <v>9120</v>
      </c>
      <c r="J30" s="833"/>
    </row>
    <row r="31" spans="1:66" ht="18" customHeight="1">
      <c r="A31" s="845"/>
      <c r="B31" s="847"/>
      <c r="C31" s="847"/>
      <c r="D31" s="842"/>
      <c r="E31" s="842"/>
      <c r="F31" s="843"/>
      <c r="G31" s="384">
        <v>171</v>
      </c>
      <c r="H31" s="389">
        <v>120</v>
      </c>
      <c r="I31" s="560">
        <f t="shared" si="2"/>
        <v>20520</v>
      </c>
      <c r="J31" s="833"/>
    </row>
    <row r="32" spans="1:66" ht="18" customHeight="1">
      <c r="A32" s="845"/>
      <c r="B32" s="847"/>
      <c r="C32" s="847"/>
      <c r="D32" s="842"/>
      <c r="E32" s="842"/>
      <c r="F32" s="843"/>
      <c r="G32" s="384">
        <v>72</v>
      </c>
      <c r="H32" s="389">
        <v>130</v>
      </c>
      <c r="I32" s="560">
        <f t="shared" si="2"/>
        <v>9360</v>
      </c>
      <c r="J32" s="833"/>
    </row>
    <row r="33" spans="1:10" ht="18" customHeight="1">
      <c r="A33" s="845"/>
      <c r="B33" s="847"/>
      <c r="C33" s="847"/>
      <c r="D33" s="842"/>
      <c r="E33" s="842"/>
      <c r="F33" s="843"/>
      <c r="G33" s="384">
        <v>4</v>
      </c>
      <c r="H33" s="389">
        <v>130</v>
      </c>
      <c r="I33" s="560">
        <f t="shared" si="2"/>
        <v>520</v>
      </c>
      <c r="J33" s="833"/>
    </row>
    <row r="34" spans="1:10" ht="18" customHeight="1">
      <c r="A34" s="845"/>
      <c r="B34" s="847"/>
      <c r="C34" s="847"/>
      <c r="D34" s="842"/>
      <c r="E34" s="842"/>
      <c r="F34" s="843"/>
      <c r="G34" s="384">
        <v>1</v>
      </c>
      <c r="H34" s="389">
        <v>6600</v>
      </c>
      <c r="I34" s="560">
        <f t="shared" si="2"/>
        <v>6600</v>
      </c>
      <c r="J34" s="833"/>
    </row>
    <row r="35" spans="1:10" ht="18" customHeight="1">
      <c r="A35" s="845"/>
      <c r="B35" s="847"/>
      <c r="C35" s="847"/>
      <c r="D35" s="842"/>
      <c r="E35" s="842"/>
      <c r="F35" s="843"/>
      <c r="G35" s="384">
        <v>70</v>
      </c>
      <c r="H35" s="389">
        <v>180</v>
      </c>
      <c r="I35" s="560">
        <f t="shared" si="2"/>
        <v>12600</v>
      </c>
      <c r="J35" s="833"/>
    </row>
    <row r="36" spans="1:10" ht="18" customHeight="1">
      <c r="A36" s="845"/>
      <c r="B36" s="847"/>
      <c r="C36" s="847"/>
      <c r="D36" s="842"/>
      <c r="E36" s="842"/>
      <c r="F36" s="843"/>
      <c r="G36" s="384">
        <v>1</v>
      </c>
      <c r="H36" s="389">
        <v>4800</v>
      </c>
      <c r="I36" s="560">
        <f t="shared" si="2"/>
        <v>4800</v>
      </c>
      <c r="J36" s="833"/>
    </row>
    <row r="37" spans="1:10" ht="18" customHeight="1">
      <c r="A37" s="845"/>
      <c r="B37" s="847"/>
      <c r="C37" s="847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33"/>
    </row>
    <row r="38" spans="1:10" ht="18" customHeight="1">
      <c r="A38" s="845"/>
      <c r="B38" s="847"/>
      <c r="C38" s="847"/>
      <c r="D38" s="842" t="s">
        <v>1403</v>
      </c>
      <c r="E38" s="842"/>
      <c r="F38" s="383" t="s">
        <v>1376</v>
      </c>
      <c r="G38" s="384">
        <v>0</v>
      </c>
      <c r="H38" s="379">
        <v>0</v>
      </c>
      <c r="I38" s="560">
        <v>0</v>
      </c>
      <c r="J38" s="833"/>
    </row>
    <row r="39" spans="1:10" ht="18" customHeight="1">
      <c r="A39" s="845"/>
      <c r="B39" s="847"/>
      <c r="C39" s="847"/>
      <c r="D39" s="842" t="s">
        <v>1404</v>
      </c>
      <c r="E39" s="842"/>
      <c r="F39" s="392" t="s">
        <v>1405</v>
      </c>
      <c r="G39" s="379">
        <v>0</v>
      </c>
      <c r="H39" s="379">
        <v>0</v>
      </c>
      <c r="I39" s="560">
        <v>0</v>
      </c>
      <c r="J39" s="833"/>
    </row>
    <row r="40" spans="1:10" s="395" customFormat="1" ht="18" customHeight="1">
      <c r="A40" s="829"/>
      <c r="B40" s="844"/>
      <c r="C40" s="844" t="s">
        <v>1406</v>
      </c>
      <c r="D40" s="844"/>
      <c r="E40" s="844"/>
      <c r="F40" s="393"/>
      <c r="G40" s="394"/>
      <c r="H40" s="394"/>
      <c r="I40" s="562">
        <f>SUM(I3:I39)</f>
        <v>1960935.0999999999</v>
      </c>
      <c r="J40" s="833"/>
    </row>
    <row r="41" spans="1:10" ht="18" customHeight="1">
      <c r="A41" s="845"/>
      <c r="B41" s="847"/>
      <c r="C41" s="830" t="s">
        <v>1407</v>
      </c>
      <c r="D41" s="830"/>
      <c r="E41" s="830"/>
      <c r="F41" s="396"/>
      <c r="G41" s="379">
        <v>0</v>
      </c>
      <c r="H41" s="836">
        <v>0.1</v>
      </c>
      <c r="I41" s="839">
        <f>H41*I40</f>
        <v>196093.51</v>
      </c>
      <c r="J41" s="833"/>
    </row>
    <row r="42" spans="1:10" ht="18" customHeight="1">
      <c r="A42" s="845"/>
      <c r="B42" s="847"/>
      <c r="C42" s="830" t="s">
        <v>1408</v>
      </c>
      <c r="D42" s="830"/>
      <c r="E42" s="830"/>
      <c r="F42" s="396"/>
      <c r="G42" s="379">
        <v>0</v>
      </c>
      <c r="H42" s="837"/>
      <c r="I42" s="840">
        <v>12829.8</v>
      </c>
      <c r="J42" s="833"/>
    </row>
    <row r="43" spans="1:10" ht="18" customHeight="1">
      <c r="A43" s="845"/>
      <c r="B43" s="847"/>
      <c r="C43" s="830" t="s">
        <v>1409</v>
      </c>
      <c r="D43" s="830"/>
      <c r="E43" s="830"/>
      <c r="F43" s="396"/>
      <c r="G43" s="379"/>
      <c r="H43" s="837"/>
      <c r="I43" s="840">
        <f>H43</f>
        <v>0</v>
      </c>
      <c r="J43" s="833"/>
    </row>
    <row r="44" spans="1:10" ht="18" customHeight="1">
      <c r="A44" s="845"/>
      <c r="B44" s="847"/>
      <c r="C44" s="830" t="s">
        <v>1410</v>
      </c>
      <c r="D44" s="830"/>
      <c r="E44" s="830"/>
      <c r="F44" s="397" t="s">
        <v>1411</v>
      </c>
      <c r="G44" s="379"/>
      <c r="H44" s="837"/>
      <c r="I44" s="840">
        <f>H44</f>
        <v>0</v>
      </c>
      <c r="J44" s="833"/>
    </row>
    <row r="45" spans="1:10" s="376" customFormat="1" ht="18" customHeight="1">
      <c r="A45" s="845"/>
      <c r="B45" s="847"/>
      <c r="C45" s="830" t="s">
        <v>1412</v>
      </c>
      <c r="D45" s="830"/>
      <c r="E45" s="830"/>
      <c r="F45" s="382" t="s">
        <v>1413</v>
      </c>
      <c r="G45" s="384"/>
      <c r="H45" s="837"/>
      <c r="I45" s="840">
        <f>H45</f>
        <v>0</v>
      </c>
      <c r="J45" s="833"/>
    </row>
    <row r="46" spans="1:10" s="376" customFormat="1" ht="18" customHeight="1">
      <c r="A46" s="845"/>
      <c r="B46" s="847"/>
      <c r="C46" s="830" t="s">
        <v>1414</v>
      </c>
      <c r="D46" s="830"/>
      <c r="E46" s="830"/>
      <c r="F46" s="396"/>
      <c r="G46" s="379">
        <v>0</v>
      </c>
      <c r="H46" s="838"/>
      <c r="I46" s="841">
        <v>0</v>
      </c>
      <c r="J46" s="833"/>
    </row>
    <row r="47" spans="1:10" s="376" customFormat="1" ht="18" customHeight="1">
      <c r="A47" s="845"/>
      <c r="B47" s="847"/>
      <c r="C47" s="830" t="s">
        <v>1415</v>
      </c>
      <c r="D47" s="830"/>
      <c r="E47" s="830"/>
      <c r="F47" s="379" t="s">
        <v>1416</v>
      </c>
      <c r="G47" s="379"/>
      <c r="H47" s="379"/>
      <c r="I47" s="560">
        <v>30000</v>
      </c>
      <c r="J47" s="833"/>
    </row>
    <row r="48" spans="1:10" s="398" customFormat="1" ht="18" customHeight="1">
      <c r="A48" s="845"/>
      <c r="B48" s="847"/>
      <c r="C48" s="830" t="s">
        <v>1417</v>
      </c>
      <c r="D48" s="830"/>
      <c r="E48" s="830"/>
      <c r="F48" s="392"/>
      <c r="G48" s="384"/>
      <c r="H48" s="379">
        <v>90000</v>
      </c>
      <c r="I48" s="560">
        <f>H48</f>
        <v>90000</v>
      </c>
      <c r="J48" s="833"/>
    </row>
    <row r="49" spans="1:10" ht="18" customHeight="1">
      <c r="A49" s="845"/>
      <c r="B49" s="847"/>
      <c r="C49" s="831" t="s">
        <v>1418</v>
      </c>
      <c r="D49" s="831"/>
      <c r="E49" s="831"/>
      <c r="F49" s="379"/>
      <c r="G49" s="379"/>
      <c r="H49" s="379"/>
      <c r="I49" s="560">
        <f>SUM(I41:I48)</f>
        <v>328923.31</v>
      </c>
      <c r="J49" s="833"/>
    </row>
    <row r="50" spans="1:10" s="395" customFormat="1" ht="18" customHeight="1">
      <c r="A50" s="829"/>
      <c r="B50" s="844"/>
      <c r="C50" s="831" t="s">
        <v>24</v>
      </c>
      <c r="D50" s="831"/>
      <c r="E50" s="831"/>
      <c r="F50" s="394"/>
      <c r="G50" s="394"/>
      <c r="H50" s="394"/>
      <c r="I50" s="562">
        <f>I49+I40</f>
        <v>2289858.4099999997</v>
      </c>
      <c r="J50" s="833"/>
    </row>
    <row r="51" spans="1:10" ht="18" customHeight="1">
      <c r="A51" s="379"/>
      <c r="B51" s="397"/>
      <c r="C51" s="829" t="s">
        <v>1540</v>
      </c>
      <c r="D51" s="829"/>
      <c r="E51" s="829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C51:E51"/>
    <mergeCell ref="C47:E47"/>
    <mergeCell ref="C48:E48"/>
    <mergeCell ref="C49:E49"/>
    <mergeCell ref="C50:E5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56" t="s">
        <v>1541</v>
      </c>
      <c r="B1" s="856"/>
      <c r="C1" s="856"/>
      <c r="D1" s="856"/>
      <c r="E1" s="856"/>
      <c r="F1" s="856"/>
      <c r="G1" s="856"/>
      <c r="H1" s="856"/>
      <c r="I1" s="856"/>
      <c r="J1" s="857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59" t="s">
        <v>1365</v>
      </c>
      <c r="E2" s="859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67">
        <v>1</v>
      </c>
      <c r="B3" s="867" t="s">
        <v>1420</v>
      </c>
      <c r="C3" s="411" t="s">
        <v>1421</v>
      </c>
      <c r="D3" s="867" t="s">
        <v>1422</v>
      </c>
      <c r="E3" s="867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59">
        <f>ROUND(I12*0.8,0)</f>
        <v>233968</v>
      </c>
    </row>
    <row r="4" spans="1:10 16362:16362" s="405" customFormat="1" ht="18" customHeight="1">
      <c r="A4" s="867"/>
      <c r="B4" s="867"/>
      <c r="C4" s="411" t="s">
        <v>281</v>
      </c>
      <c r="D4" s="867" t="s">
        <v>1423</v>
      </c>
      <c r="E4" s="867"/>
      <c r="F4" s="411" t="s">
        <v>1388</v>
      </c>
      <c r="G4" s="412">
        <v>104</v>
      </c>
      <c r="H4" s="413">
        <v>350</v>
      </c>
      <c r="I4" s="412">
        <f>G4*H4</f>
        <v>36400</v>
      </c>
      <c r="J4" s="860"/>
    </row>
    <row r="5" spans="1:10 16362:16362" s="410" customFormat="1" ht="18" customHeight="1">
      <c r="A5" s="858"/>
      <c r="B5" s="858"/>
      <c r="C5" s="858" t="s">
        <v>1424</v>
      </c>
      <c r="D5" s="858"/>
      <c r="E5" s="858"/>
      <c r="F5" s="414"/>
      <c r="G5" s="409"/>
      <c r="H5" s="409"/>
      <c r="I5" s="415">
        <f>I3+I4</f>
        <v>238600</v>
      </c>
      <c r="J5" s="860"/>
      <c r="XEH5" s="416"/>
    </row>
    <row r="6" spans="1:10 16362:16362" s="405" customFormat="1" ht="18" customHeight="1">
      <c r="A6" s="867"/>
      <c r="B6" s="867"/>
      <c r="C6" s="867" t="s">
        <v>1408</v>
      </c>
      <c r="D6" s="867"/>
      <c r="E6" s="867"/>
      <c r="F6" s="867" t="s">
        <v>1376</v>
      </c>
      <c r="G6" s="868">
        <v>1</v>
      </c>
      <c r="H6" s="869">
        <f>I5*0.1</f>
        <v>23860</v>
      </c>
      <c r="I6" s="869">
        <f>G6*H6</f>
        <v>23860</v>
      </c>
      <c r="J6" s="860"/>
    </row>
    <row r="7" spans="1:10 16362:16362" s="405" customFormat="1" ht="18" customHeight="1">
      <c r="A7" s="867"/>
      <c r="B7" s="867"/>
      <c r="C7" s="867" t="s">
        <v>1425</v>
      </c>
      <c r="D7" s="867"/>
      <c r="E7" s="867"/>
      <c r="F7" s="867"/>
      <c r="G7" s="868"/>
      <c r="H7" s="869"/>
      <c r="I7" s="869"/>
      <c r="J7" s="860"/>
    </row>
    <row r="8" spans="1:10 16362:16362" s="405" customFormat="1" ht="18" customHeight="1">
      <c r="A8" s="867"/>
      <c r="B8" s="867"/>
      <c r="C8" s="867" t="s">
        <v>1409</v>
      </c>
      <c r="D8" s="867"/>
      <c r="E8" s="867"/>
      <c r="F8" s="867"/>
      <c r="G8" s="868"/>
      <c r="H8" s="869"/>
      <c r="I8" s="869"/>
      <c r="J8" s="860"/>
    </row>
    <row r="9" spans="1:10 16362:16362" s="405" customFormat="1" ht="18" customHeight="1">
      <c r="A9" s="867"/>
      <c r="B9" s="867"/>
      <c r="C9" s="867" t="s">
        <v>1410</v>
      </c>
      <c r="D9" s="867"/>
      <c r="E9" s="867"/>
      <c r="F9" s="867"/>
      <c r="G9" s="868"/>
      <c r="H9" s="869"/>
      <c r="I9" s="869"/>
      <c r="J9" s="860"/>
    </row>
    <row r="10" spans="1:10 16362:16362" s="405" customFormat="1" ht="18" customHeight="1">
      <c r="A10" s="867"/>
      <c r="B10" s="867"/>
      <c r="C10" s="867" t="s">
        <v>1426</v>
      </c>
      <c r="D10" s="867"/>
      <c r="E10" s="867"/>
      <c r="F10" s="411" t="s">
        <v>1376</v>
      </c>
      <c r="G10" s="413">
        <v>1</v>
      </c>
      <c r="H10" s="417">
        <f>I10</f>
        <v>30000</v>
      </c>
      <c r="I10" s="417">
        <v>30000</v>
      </c>
      <c r="J10" s="860"/>
    </row>
    <row r="11" spans="1:10 16362:16362" s="410" customFormat="1" ht="18" customHeight="1">
      <c r="A11" s="858"/>
      <c r="B11" s="858"/>
      <c r="C11" s="858" t="s">
        <v>1427</v>
      </c>
      <c r="D11" s="858"/>
      <c r="E11" s="858"/>
      <c r="F11" s="414"/>
      <c r="G11" s="409"/>
      <c r="H11" s="409"/>
      <c r="I11" s="415">
        <f>I6+I7+I8+I9+I10</f>
        <v>53860</v>
      </c>
      <c r="J11" s="860"/>
    </row>
    <row r="12" spans="1:10 16362:16362" s="405" customFormat="1" ht="18" customHeight="1">
      <c r="A12" s="411"/>
      <c r="B12" s="411"/>
      <c r="C12" s="858" t="s">
        <v>1428</v>
      </c>
      <c r="D12" s="858"/>
      <c r="E12" s="858"/>
      <c r="F12" s="411"/>
      <c r="G12" s="409"/>
      <c r="H12" s="409"/>
      <c r="I12" s="415">
        <f>I5+I11</f>
        <v>292460</v>
      </c>
      <c r="J12" s="860"/>
    </row>
    <row r="13" spans="1:10 16362:16362" s="418" customFormat="1" ht="18" customHeight="1">
      <c r="A13" s="867">
        <v>2</v>
      </c>
      <c r="B13" s="867" t="s">
        <v>1429</v>
      </c>
      <c r="C13" s="867" t="s">
        <v>1430</v>
      </c>
      <c r="D13" s="867" t="s">
        <v>1431</v>
      </c>
      <c r="E13" s="867"/>
      <c r="F13" s="411" t="s">
        <v>1372</v>
      </c>
      <c r="G13" s="412">
        <v>2157</v>
      </c>
      <c r="H13" s="413">
        <v>122.021325915624</v>
      </c>
      <c r="I13" s="412">
        <v>263200</v>
      </c>
      <c r="J13" s="861">
        <f>ROUND(I40*0.8,0)</f>
        <v>922130</v>
      </c>
    </row>
    <row r="14" spans="1:10 16362:16362" s="418" customFormat="1" ht="18" customHeight="1">
      <c r="A14" s="867"/>
      <c r="B14" s="867"/>
      <c r="C14" s="867"/>
      <c r="D14" s="867" t="s">
        <v>1432</v>
      </c>
      <c r="E14" s="867"/>
      <c r="F14" s="411" t="s">
        <v>1372</v>
      </c>
      <c r="G14" s="412">
        <v>500</v>
      </c>
      <c r="H14" s="413">
        <v>42.6</v>
      </c>
      <c r="I14" s="412">
        <v>21300</v>
      </c>
      <c r="J14" s="862"/>
    </row>
    <row r="15" spans="1:10 16362:16362" s="418" customFormat="1" ht="18" customHeight="1">
      <c r="A15" s="867"/>
      <c r="B15" s="867"/>
      <c r="C15" s="867"/>
      <c r="D15" s="867" t="s">
        <v>1433</v>
      </c>
      <c r="E15" s="867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862"/>
    </row>
    <row r="16" spans="1:10 16362:16362" s="418" customFormat="1" ht="18" customHeight="1">
      <c r="A16" s="867"/>
      <c r="B16" s="867"/>
      <c r="C16" s="867"/>
      <c r="D16" s="867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862"/>
    </row>
    <row r="17" spans="1:16362" s="418" customFormat="1" ht="18" customHeight="1">
      <c r="A17" s="867"/>
      <c r="B17" s="867"/>
      <c r="C17" s="867"/>
      <c r="D17" s="867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862"/>
    </row>
    <row r="18" spans="1:16362" s="418" customFormat="1" ht="18" customHeight="1">
      <c r="A18" s="867"/>
      <c r="B18" s="867"/>
      <c r="C18" s="867"/>
      <c r="D18" s="867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862"/>
    </row>
    <row r="19" spans="1:16362" s="418" customFormat="1" ht="18" customHeight="1">
      <c r="A19" s="867"/>
      <c r="B19" s="867"/>
      <c r="C19" s="867"/>
      <c r="D19" s="867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862"/>
    </row>
    <row r="20" spans="1:16362" s="418" customFormat="1" ht="18" customHeight="1">
      <c r="A20" s="867"/>
      <c r="B20" s="867"/>
      <c r="C20" s="867"/>
      <c r="D20" s="867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862"/>
    </row>
    <row r="21" spans="1:16362" s="418" customFormat="1" ht="18" customHeight="1">
      <c r="A21" s="867"/>
      <c r="B21" s="867"/>
      <c r="C21" s="867"/>
      <c r="D21" s="867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862"/>
    </row>
    <row r="22" spans="1:16362" s="418" customFormat="1" ht="18" customHeight="1">
      <c r="A22" s="867"/>
      <c r="B22" s="867"/>
      <c r="C22" s="867"/>
      <c r="D22" s="867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862"/>
    </row>
    <row r="23" spans="1:16362" s="418" customFormat="1" ht="18" customHeight="1">
      <c r="A23" s="867"/>
      <c r="B23" s="867"/>
      <c r="C23" s="867"/>
      <c r="D23" s="867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862"/>
    </row>
    <row r="24" spans="1:16362" s="418" customFormat="1" ht="18" customHeight="1">
      <c r="A24" s="867"/>
      <c r="B24" s="867"/>
      <c r="C24" s="867"/>
      <c r="D24" s="867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862"/>
    </row>
    <row r="25" spans="1:16362" s="418" customFormat="1" ht="18" customHeight="1">
      <c r="A25" s="867"/>
      <c r="B25" s="867"/>
      <c r="C25" s="867"/>
      <c r="D25" s="867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862"/>
    </row>
    <row r="26" spans="1:16362" s="418" customFormat="1" ht="18" customHeight="1">
      <c r="A26" s="867"/>
      <c r="B26" s="867"/>
      <c r="C26" s="867"/>
      <c r="D26" s="867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862"/>
    </row>
    <row r="27" spans="1:16362" s="418" customFormat="1" ht="18" customHeight="1">
      <c r="A27" s="867"/>
      <c r="B27" s="867"/>
      <c r="C27" s="867"/>
      <c r="D27" s="867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862"/>
    </row>
    <row r="28" spans="1:16362" s="418" customFormat="1" ht="18" customHeight="1">
      <c r="A28" s="867"/>
      <c r="B28" s="867"/>
      <c r="C28" s="867"/>
      <c r="D28" s="867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862"/>
    </row>
    <row r="29" spans="1:16362" s="418" customFormat="1" ht="18" customHeight="1">
      <c r="A29" s="867"/>
      <c r="B29" s="867"/>
      <c r="C29" s="867"/>
      <c r="D29" s="867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862"/>
    </row>
    <row r="30" spans="1:16362" s="418" customFormat="1" ht="18" customHeight="1">
      <c r="A30" s="858"/>
      <c r="B30" s="858"/>
      <c r="C30" s="867"/>
      <c r="D30" s="867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862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58"/>
      <c r="B31" s="858"/>
      <c r="C31" s="858" t="s">
        <v>1424</v>
      </c>
      <c r="D31" s="858"/>
      <c r="E31" s="858"/>
      <c r="F31" s="414"/>
      <c r="G31" s="409"/>
      <c r="H31" s="409"/>
      <c r="I31" s="415">
        <f>SUM(I13:I30)</f>
        <v>1002421</v>
      </c>
      <c r="J31" s="862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67"/>
      <c r="B32" s="867"/>
      <c r="C32" s="866" t="s">
        <v>1408</v>
      </c>
      <c r="D32" s="866"/>
      <c r="E32" s="866"/>
      <c r="F32" s="867" t="s">
        <v>1376</v>
      </c>
      <c r="G32" s="868">
        <v>1</v>
      </c>
      <c r="H32" s="869">
        <f>I31*0.1</f>
        <v>100242.1</v>
      </c>
      <c r="I32" s="869">
        <f>G32*H32</f>
        <v>100242.1</v>
      </c>
      <c r="J32" s="862"/>
    </row>
    <row r="33" spans="1:16362" s="420" customFormat="1" ht="18" customHeight="1">
      <c r="A33" s="867"/>
      <c r="B33" s="867"/>
      <c r="C33" s="866" t="s">
        <v>1425</v>
      </c>
      <c r="D33" s="866"/>
      <c r="E33" s="866"/>
      <c r="F33" s="867"/>
      <c r="G33" s="868"/>
      <c r="H33" s="869"/>
      <c r="I33" s="869"/>
      <c r="J33" s="862"/>
    </row>
    <row r="34" spans="1:16362" s="420" customFormat="1" ht="18" customHeight="1">
      <c r="A34" s="867"/>
      <c r="B34" s="867"/>
      <c r="C34" s="866" t="s">
        <v>1409</v>
      </c>
      <c r="D34" s="866"/>
      <c r="E34" s="866"/>
      <c r="F34" s="867"/>
      <c r="G34" s="868"/>
      <c r="H34" s="869"/>
      <c r="I34" s="869"/>
      <c r="J34" s="862"/>
    </row>
    <row r="35" spans="1:16362" s="420" customFormat="1" ht="18" customHeight="1">
      <c r="A35" s="867"/>
      <c r="B35" s="867"/>
      <c r="C35" s="866" t="s">
        <v>1410</v>
      </c>
      <c r="D35" s="866"/>
      <c r="E35" s="866"/>
      <c r="F35" s="867"/>
      <c r="G35" s="868"/>
      <c r="H35" s="869"/>
      <c r="I35" s="869"/>
      <c r="J35" s="862"/>
    </row>
    <row r="36" spans="1:16362" s="420" customFormat="1" ht="18" customHeight="1">
      <c r="A36" s="867"/>
      <c r="B36" s="867"/>
      <c r="C36" s="866" t="s">
        <v>1412</v>
      </c>
      <c r="D36" s="866"/>
      <c r="E36" s="866"/>
      <c r="F36" s="867"/>
      <c r="G36" s="868"/>
      <c r="H36" s="869"/>
      <c r="I36" s="869"/>
      <c r="J36" s="862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67"/>
      <c r="B37" s="867"/>
      <c r="C37" s="866" t="s">
        <v>1415</v>
      </c>
      <c r="D37" s="866"/>
      <c r="E37" s="866"/>
      <c r="F37" s="411" t="s">
        <v>1376</v>
      </c>
      <c r="G37" s="413">
        <v>1</v>
      </c>
      <c r="H37" s="417">
        <v>18000</v>
      </c>
      <c r="I37" s="417">
        <f>H37</f>
        <v>18000</v>
      </c>
      <c r="J37" s="862"/>
    </row>
    <row r="38" spans="1:16362" s="420" customFormat="1" ht="18" customHeight="1">
      <c r="A38" s="867"/>
      <c r="B38" s="867"/>
      <c r="C38" s="866" t="s">
        <v>1446</v>
      </c>
      <c r="D38" s="866"/>
      <c r="E38" s="866"/>
      <c r="F38" s="411" t="s">
        <v>1376</v>
      </c>
      <c r="G38" s="413">
        <v>1</v>
      </c>
      <c r="H38" s="417">
        <f>I38</f>
        <v>32000</v>
      </c>
      <c r="I38" s="417">
        <v>32000</v>
      </c>
      <c r="J38" s="862"/>
    </row>
    <row r="39" spans="1:16362" s="420" customFormat="1" ht="18" customHeight="1">
      <c r="A39" s="867"/>
      <c r="B39" s="867"/>
      <c r="C39" s="858" t="s">
        <v>1427</v>
      </c>
      <c r="D39" s="858"/>
      <c r="E39" s="858"/>
      <c r="F39" s="411"/>
      <c r="G39" s="411"/>
      <c r="H39" s="409"/>
      <c r="I39" s="415">
        <f>I32+I33+I34+I35+I37+I38</f>
        <v>150242.1</v>
      </c>
      <c r="J39" s="862"/>
    </row>
    <row r="40" spans="1:16362" s="420" customFormat="1" ht="18" customHeight="1">
      <c r="A40" s="411"/>
      <c r="B40" s="411"/>
      <c r="C40" s="858" t="s">
        <v>1428</v>
      </c>
      <c r="D40" s="858"/>
      <c r="E40" s="858"/>
      <c r="F40" s="411"/>
      <c r="G40" s="411"/>
      <c r="H40" s="409"/>
      <c r="I40" s="415">
        <f>I31+I39</f>
        <v>1152663.1000000001</v>
      </c>
      <c r="J40" s="862"/>
    </row>
    <row r="41" spans="1:16362" s="405" customFormat="1" ht="18" customHeight="1">
      <c r="A41" s="867">
        <v>3</v>
      </c>
      <c r="B41" s="867" t="s">
        <v>1447</v>
      </c>
      <c r="C41" s="867" t="s">
        <v>1430</v>
      </c>
      <c r="D41" s="867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59">
        <f>ROUND(I77*0.8,0)</f>
        <v>1659473</v>
      </c>
    </row>
    <row r="42" spans="1:16362" s="405" customFormat="1" ht="18" customHeight="1">
      <c r="A42" s="867"/>
      <c r="B42" s="867"/>
      <c r="C42" s="867"/>
      <c r="D42" s="867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60"/>
    </row>
    <row r="43" spans="1:16362" s="405" customFormat="1" ht="18" customHeight="1">
      <c r="A43" s="867"/>
      <c r="B43" s="867"/>
      <c r="C43" s="867"/>
      <c r="D43" s="867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60"/>
    </row>
    <row r="44" spans="1:16362" s="405" customFormat="1" ht="18" customHeight="1">
      <c r="A44" s="867"/>
      <c r="B44" s="867"/>
      <c r="C44" s="867"/>
      <c r="D44" s="867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60"/>
    </row>
    <row r="45" spans="1:16362" s="405" customFormat="1" ht="18" customHeight="1">
      <c r="A45" s="867"/>
      <c r="B45" s="867"/>
      <c r="C45" s="867"/>
      <c r="D45" s="867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60"/>
    </row>
    <row r="46" spans="1:16362" s="405" customFormat="1" ht="18" customHeight="1">
      <c r="A46" s="867"/>
      <c r="B46" s="867"/>
      <c r="C46" s="867"/>
      <c r="D46" s="867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60"/>
    </row>
    <row r="47" spans="1:16362" s="405" customFormat="1" ht="18" customHeight="1">
      <c r="A47" s="867"/>
      <c r="B47" s="867"/>
      <c r="C47" s="867"/>
      <c r="D47" s="867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60"/>
    </row>
    <row r="48" spans="1:16362" s="405" customFormat="1" ht="18" customHeight="1">
      <c r="A48" s="867"/>
      <c r="B48" s="867"/>
      <c r="C48" s="867"/>
      <c r="D48" s="867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60"/>
    </row>
    <row r="49" spans="1:10" s="405" customFormat="1" ht="18" customHeight="1">
      <c r="A49" s="867"/>
      <c r="B49" s="867"/>
      <c r="C49" s="867"/>
      <c r="D49" s="867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60"/>
    </row>
    <row r="50" spans="1:10" s="405" customFormat="1" ht="18" customHeight="1">
      <c r="A50" s="867"/>
      <c r="B50" s="867"/>
      <c r="C50" s="867"/>
      <c r="D50" s="867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60"/>
    </row>
    <row r="51" spans="1:10" s="405" customFormat="1" ht="18" customHeight="1">
      <c r="A51" s="867"/>
      <c r="B51" s="867"/>
      <c r="C51" s="867"/>
      <c r="D51" s="867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60"/>
    </row>
    <row r="52" spans="1:10" s="405" customFormat="1" ht="18" customHeight="1">
      <c r="A52" s="867"/>
      <c r="B52" s="867"/>
      <c r="C52" s="867"/>
      <c r="D52" s="867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60"/>
    </row>
    <row r="53" spans="1:10" s="405" customFormat="1" ht="18" customHeight="1">
      <c r="A53" s="867"/>
      <c r="B53" s="867"/>
      <c r="C53" s="867"/>
      <c r="D53" s="867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60"/>
    </row>
    <row r="54" spans="1:10" s="405" customFormat="1" ht="18" customHeight="1">
      <c r="A54" s="867"/>
      <c r="B54" s="867"/>
      <c r="C54" s="867"/>
      <c r="D54" s="867" t="s">
        <v>1458</v>
      </c>
      <c r="E54" s="867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60"/>
    </row>
    <row r="55" spans="1:10" s="405" customFormat="1" ht="18" customHeight="1">
      <c r="A55" s="867"/>
      <c r="B55" s="867"/>
      <c r="C55" s="867" t="s">
        <v>1459</v>
      </c>
      <c r="D55" s="867" t="s">
        <v>1460</v>
      </c>
      <c r="E55" s="411" t="s">
        <v>1461</v>
      </c>
      <c r="F55" s="867" t="s">
        <v>1376</v>
      </c>
      <c r="G55" s="412">
        <v>1</v>
      </c>
      <c r="H55" s="413">
        <v>20000</v>
      </c>
      <c r="I55" s="412">
        <f t="shared" si="2"/>
        <v>20000</v>
      </c>
      <c r="J55" s="860"/>
    </row>
    <row r="56" spans="1:10" s="405" customFormat="1" ht="18" customHeight="1">
      <c r="A56" s="867"/>
      <c r="B56" s="867"/>
      <c r="C56" s="867"/>
      <c r="D56" s="867"/>
      <c r="E56" s="411" t="s">
        <v>1462</v>
      </c>
      <c r="F56" s="867"/>
      <c r="G56" s="412">
        <v>1</v>
      </c>
      <c r="H56" s="413">
        <v>15000</v>
      </c>
      <c r="I56" s="412">
        <f t="shared" si="2"/>
        <v>15000</v>
      </c>
      <c r="J56" s="860"/>
    </row>
    <row r="57" spans="1:10" s="405" customFormat="1" ht="18" customHeight="1">
      <c r="A57" s="867"/>
      <c r="B57" s="867"/>
      <c r="C57" s="867"/>
      <c r="D57" s="867"/>
      <c r="E57" s="411" t="s">
        <v>1463</v>
      </c>
      <c r="F57" s="867"/>
      <c r="G57" s="412">
        <v>1</v>
      </c>
      <c r="H57" s="413">
        <v>10000</v>
      </c>
      <c r="I57" s="412">
        <f t="shared" si="2"/>
        <v>10000</v>
      </c>
      <c r="J57" s="860"/>
    </row>
    <row r="58" spans="1:10" s="405" customFormat="1" ht="18" customHeight="1">
      <c r="A58" s="867"/>
      <c r="B58" s="867"/>
      <c r="C58" s="867"/>
      <c r="D58" s="867"/>
      <c r="E58" s="411" t="s">
        <v>1464</v>
      </c>
      <c r="F58" s="867"/>
      <c r="G58" s="412">
        <v>1</v>
      </c>
      <c r="H58" s="413">
        <v>25000</v>
      </c>
      <c r="I58" s="412">
        <f t="shared" si="2"/>
        <v>25000</v>
      </c>
      <c r="J58" s="860"/>
    </row>
    <row r="59" spans="1:10" s="405" customFormat="1" ht="18" customHeight="1">
      <c r="A59" s="867"/>
      <c r="B59" s="867"/>
      <c r="C59" s="867"/>
      <c r="D59" s="867"/>
      <c r="E59" s="411" t="s">
        <v>1443</v>
      </c>
      <c r="F59" s="867"/>
      <c r="G59" s="412">
        <v>1</v>
      </c>
      <c r="H59" s="413">
        <v>4000</v>
      </c>
      <c r="I59" s="412">
        <f t="shared" si="2"/>
        <v>4000</v>
      </c>
      <c r="J59" s="860"/>
    </row>
    <row r="60" spans="1:10" s="405" customFormat="1" ht="18" customHeight="1">
      <c r="A60" s="867"/>
      <c r="B60" s="867"/>
      <c r="C60" s="867"/>
      <c r="D60" s="867" t="s">
        <v>1465</v>
      </c>
      <c r="E60" s="867"/>
      <c r="F60" s="411" t="s">
        <v>1376</v>
      </c>
      <c r="G60" s="412">
        <v>1</v>
      </c>
      <c r="H60" s="413">
        <v>80000</v>
      </c>
      <c r="I60" s="412">
        <v>80000</v>
      </c>
      <c r="J60" s="860"/>
    </row>
    <row r="61" spans="1:10" s="405" customFormat="1" ht="18" customHeight="1">
      <c r="A61" s="867"/>
      <c r="B61" s="867"/>
      <c r="C61" s="867" t="s">
        <v>1466</v>
      </c>
      <c r="D61" s="867" t="s">
        <v>1467</v>
      </c>
      <c r="E61" s="867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60"/>
    </row>
    <row r="62" spans="1:10" s="405" customFormat="1" ht="18" customHeight="1">
      <c r="A62" s="867"/>
      <c r="B62" s="867"/>
      <c r="C62" s="867"/>
      <c r="D62" s="867" t="s">
        <v>1468</v>
      </c>
      <c r="E62" s="867"/>
      <c r="F62" s="411" t="s">
        <v>1376</v>
      </c>
      <c r="G62" s="412">
        <v>0</v>
      </c>
      <c r="H62" s="413">
        <v>0</v>
      </c>
      <c r="I62" s="412">
        <v>0</v>
      </c>
      <c r="J62" s="860"/>
    </row>
    <row r="63" spans="1:10" s="405" customFormat="1" ht="18" customHeight="1">
      <c r="A63" s="867"/>
      <c r="B63" s="867"/>
      <c r="C63" s="867"/>
      <c r="D63" s="867" t="s">
        <v>1469</v>
      </c>
      <c r="E63" s="867"/>
      <c r="F63" s="411" t="s">
        <v>1470</v>
      </c>
      <c r="G63" s="412">
        <v>0</v>
      </c>
      <c r="H63" s="413">
        <v>0</v>
      </c>
      <c r="I63" s="412">
        <v>0</v>
      </c>
      <c r="J63" s="860"/>
    </row>
    <row r="64" spans="1:10" s="405" customFormat="1" ht="18" customHeight="1">
      <c r="A64" s="867"/>
      <c r="B64" s="867"/>
      <c r="C64" s="867" t="s">
        <v>1471</v>
      </c>
      <c r="D64" s="867"/>
      <c r="E64" s="867"/>
      <c r="F64" s="411" t="s">
        <v>1376</v>
      </c>
      <c r="G64" s="412">
        <v>1</v>
      </c>
      <c r="H64" s="413">
        <v>25000</v>
      </c>
      <c r="I64" s="412">
        <v>25000</v>
      </c>
      <c r="J64" s="860"/>
    </row>
    <row r="65" spans="1:16362" s="405" customFormat="1" ht="18" customHeight="1">
      <c r="A65" s="867"/>
      <c r="B65" s="867"/>
      <c r="C65" s="867" t="s">
        <v>1472</v>
      </c>
      <c r="D65" s="867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60"/>
    </row>
    <row r="66" spans="1:16362" s="405" customFormat="1" ht="18" customHeight="1">
      <c r="A66" s="867"/>
      <c r="B66" s="867"/>
      <c r="C66" s="867"/>
      <c r="D66" s="867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60"/>
    </row>
    <row r="67" spans="1:16362" s="405" customFormat="1" ht="18" customHeight="1">
      <c r="A67" s="867"/>
      <c r="B67" s="867"/>
      <c r="C67" s="867" t="s">
        <v>1475</v>
      </c>
      <c r="D67" s="867" t="s">
        <v>1476</v>
      </c>
      <c r="E67" s="867"/>
      <c r="F67" s="411" t="s">
        <v>1376</v>
      </c>
      <c r="G67" s="412">
        <v>1</v>
      </c>
      <c r="H67" s="413">
        <v>20000</v>
      </c>
      <c r="I67" s="412">
        <v>20000</v>
      </c>
      <c r="J67" s="860"/>
    </row>
    <row r="68" spans="1:16362" s="405" customFormat="1" ht="18" customHeight="1">
      <c r="A68" s="867"/>
      <c r="B68" s="867"/>
      <c r="C68" s="867"/>
      <c r="D68" s="867" t="s">
        <v>1477</v>
      </c>
      <c r="E68" s="867"/>
      <c r="F68" s="411" t="s">
        <v>1376</v>
      </c>
      <c r="G68" s="412">
        <v>1</v>
      </c>
      <c r="H68" s="413">
        <v>20000</v>
      </c>
      <c r="I68" s="412">
        <v>20000</v>
      </c>
      <c r="J68" s="860"/>
    </row>
    <row r="69" spans="1:16362" s="405" customFormat="1" ht="18" customHeight="1">
      <c r="A69" s="867"/>
      <c r="B69" s="867"/>
      <c r="C69" s="858" t="s">
        <v>1424</v>
      </c>
      <c r="D69" s="858"/>
      <c r="E69" s="858"/>
      <c r="F69" s="411"/>
      <c r="G69" s="412"/>
      <c r="H69" s="412"/>
      <c r="I69" s="415">
        <f>SUM(I41:I68)</f>
        <v>1836674</v>
      </c>
      <c r="J69" s="860"/>
    </row>
    <row r="70" spans="1:16362" s="405" customFormat="1" ht="18" customHeight="1">
      <c r="A70" s="867"/>
      <c r="B70" s="867"/>
      <c r="C70" s="866" t="s">
        <v>1408</v>
      </c>
      <c r="D70" s="866"/>
      <c r="E70" s="866"/>
      <c r="F70" s="867" t="s">
        <v>1376</v>
      </c>
      <c r="G70" s="868">
        <v>1</v>
      </c>
      <c r="H70" s="869">
        <f>I69*0.1</f>
        <v>183667.40000000002</v>
      </c>
      <c r="I70" s="869">
        <f t="shared" si="3"/>
        <v>183667.40000000002</v>
      </c>
      <c r="J70" s="860"/>
    </row>
    <row r="71" spans="1:16362" s="405" customFormat="1" ht="18" customHeight="1">
      <c r="A71" s="867"/>
      <c r="B71" s="867"/>
      <c r="C71" s="866" t="s">
        <v>1425</v>
      </c>
      <c r="D71" s="866"/>
      <c r="E71" s="866"/>
      <c r="F71" s="867"/>
      <c r="G71" s="868"/>
      <c r="H71" s="869"/>
      <c r="I71" s="869"/>
      <c r="J71" s="860"/>
    </row>
    <row r="72" spans="1:16362" s="405" customFormat="1" ht="18" customHeight="1">
      <c r="A72" s="867"/>
      <c r="B72" s="867"/>
      <c r="C72" s="866" t="s">
        <v>1409</v>
      </c>
      <c r="D72" s="866"/>
      <c r="E72" s="866"/>
      <c r="F72" s="867"/>
      <c r="G72" s="868"/>
      <c r="H72" s="869"/>
      <c r="I72" s="869"/>
      <c r="J72" s="860"/>
    </row>
    <row r="73" spans="1:16362" s="405" customFormat="1" ht="18" customHeight="1">
      <c r="A73" s="867"/>
      <c r="B73" s="867"/>
      <c r="C73" s="866" t="s">
        <v>1410</v>
      </c>
      <c r="D73" s="866"/>
      <c r="E73" s="866"/>
      <c r="F73" s="867"/>
      <c r="G73" s="868"/>
      <c r="H73" s="869"/>
      <c r="I73" s="869"/>
      <c r="J73" s="860"/>
    </row>
    <row r="74" spans="1:16362" s="420" customFormat="1" ht="18" customHeight="1">
      <c r="A74" s="867"/>
      <c r="B74" s="867"/>
      <c r="C74" s="866" t="s">
        <v>1412</v>
      </c>
      <c r="D74" s="866"/>
      <c r="E74" s="866"/>
      <c r="F74" s="867"/>
      <c r="G74" s="868"/>
      <c r="H74" s="869"/>
      <c r="I74" s="869"/>
      <c r="J74" s="860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67"/>
      <c r="B75" s="867"/>
      <c r="C75" s="866" t="s">
        <v>1415</v>
      </c>
      <c r="D75" s="866"/>
      <c r="E75" s="866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60"/>
    </row>
    <row r="76" spans="1:16362" s="405" customFormat="1" ht="18" customHeight="1">
      <c r="A76" s="867"/>
      <c r="B76" s="867"/>
      <c r="C76" s="858" t="s">
        <v>1427</v>
      </c>
      <c r="D76" s="858"/>
      <c r="E76" s="858"/>
      <c r="F76" s="411"/>
      <c r="G76" s="409"/>
      <c r="H76" s="409"/>
      <c r="I76" s="415">
        <f>I70+I72+I75+I73+I71</f>
        <v>237667.40000000002</v>
      </c>
      <c r="J76" s="860"/>
    </row>
    <row r="77" spans="1:16362" s="405" customFormat="1" ht="18" customHeight="1">
      <c r="A77" s="411"/>
      <c r="B77" s="411"/>
      <c r="C77" s="858" t="s">
        <v>1428</v>
      </c>
      <c r="D77" s="858"/>
      <c r="E77" s="858"/>
      <c r="F77" s="411"/>
      <c r="G77" s="409"/>
      <c r="H77" s="409"/>
      <c r="I77" s="415">
        <f>I69+I76</f>
        <v>2074341.4</v>
      </c>
      <c r="J77" s="860"/>
    </row>
    <row r="78" spans="1:16362" s="405" customFormat="1" ht="18" customHeight="1">
      <c r="A78" s="867">
        <v>4</v>
      </c>
      <c r="B78" s="867" t="s">
        <v>1063</v>
      </c>
      <c r="C78" s="411" t="s">
        <v>1430</v>
      </c>
      <c r="D78" s="867" t="s">
        <v>1478</v>
      </c>
      <c r="E78" s="867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59">
        <f>ROUND(I85*0.8,0)</f>
        <v>217360</v>
      </c>
    </row>
    <row r="79" spans="1:16362" s="410" customFormat="1" ht="18" customHeight="1">
      <c r="A79" s="858"/>
      <c r="B79" s="858"/>
      <c r="C79" s="858" t="s">
        <v>1424</v>
      </c>
      <c r="D79" s="858"/>
      <c r="E79" s="858"/>
      <c r="F79" s="414"/>
      <c r="G79" s="409"/>
      <c r="H79" s="409"/>
      <c r="I79" s="415">
        <f>SUM(I78:I78)</f>
        <v>247000</v>
      </c>
      <c r="J79" s="860"/>
      <c r="XEH79" s="416"/>
    </row>
    <row r="80" spans="1:16362" s="405" customFormat="1" ht="18" customHeight="1">
      <c r="A80" s="867"/>
      <c r="B80" s="867"/>
      <c r="C80" s="866" t="s">
        <v>1408</v>
      </c>
      <c r="D80" s="866"/>
      <c r="E80" s="866"/>
      <c r="F80" s="867" t="s">
        <v>1376</v>
      </c>
      <c r="G80" s="868">
        <v>1</v>
      </c>
      <c r="H80" s="869">
        <f>I79*0.1</f>
        <v>24700</v>
      </c>
      <c r="I80" s="869">
        <f t="shared" si="4"/>
        <v>24700</v>
      </c>
      <c r="J80" s="860"/>
    </row>
    <row r="81" spans="1:10" s="405" customFormat="1" ht="18" customHeight="1">
      <c r="A81" s="867"/>
      <c r="B81" s="867"/>
      <c r="C81" s="866" t="s">
        <v>1425</v>
      </c>
      <c r="D81" s="866"/>
      <c r="E81" s="866"/>
      <c r="F81" s="867"/>
      <c r="G81" s="868"/>
      <c r="H81" s="869"/>
      <c r="I81" s="869"/>
      <c r="J81" s="860"/>
    </row>
    <row r="82" spans="1:10" s="405" customFormat="1" ht="18" customHeight="1">
      <c r="A82" s="867"/>
      <c r="B82" s="867"/>
      <c r="C82" s="866" t="s">
        <v>1409</v>
      </c>
      <c r="D82" s="866"/>
      <c r="E82" s="866"/>
      <c r="F82" s="867"/>
      <c r="G82" s="868"/>
      <c r="H82" s="869"/>
      <c r="I82" s="869"/>
      <c r="J82" s="860"/>
    </row>
    <row r="83" spans="1:10" s="405" customFormat="1" ht="18" customHeight="1">
      <c r="A83" s="867"/>
      <c r="B83" s="867"/>
      <c r="C83" s="866" t="s">
        <v>1410</v>
      </c>
      <c r="D83" s="866"/>
      <c r="E83" s="866"/>
      <c r="F83" s="867"/>
      <c r="G83" s="868"/>
      <c r="H83" s="869"/>
      <c r="I83" s="869"/>
      <c r="J83" s="860"/>
    </row>
    <row r="84" spans="1:10" s="405" customFormat="1" ht="18" customHeight="1">
      <c r="A84" s="867"/>
      <c r="B84" s="867"/>
      <c r="C84" s="858" t="s">
        <v>1427</v>
      </c>
      <c r="D84" s="858"/>
      <c r="E84" s="858"/>
      <c r="F84" s="411"/>
      <c r="G84" s="409"/>
      <c r="H84" s="409"/>
      <c r="I84" s="415">
        <f>I80+I81+I82+I83</f>
        <v>24700</v>
      </c>
      <c r="J84" s="860"/>
    </row>
    <row r="85" spans="1:10" s="405" customFormat="1" ht="18" customHeight="1">
      <c r="A85" s="411"/>
      <c r="B85" s="411"/>
      <c r="C85" s="858" t="s">
        <v>1428</v>
      </c>
      <c r="D85" s="858"/>
      <c r="E85" s="858"/>
      <c r="F85" s="411"/>
      <c r="G85" s="409"/>
      <c r="H85" s="409"/>
      <c r="I85" s="415">
        <f>SUM(I79,I84)</f>
        <v>271700</v>
      </c>
      <c r="J85" s="860"/>
    </row>
    <row r="86" spans="1:10" s="405" customFormat="1" ht="18" customHeight="1">
      <c r="A86" s="870">
        <v>5</v>
      </c>
      <c r="B86" s="867" t="s">
        <v>1480</v>
      </c>
      <c r="C86" s="867" t="s">
        <v>1481</v>
      </c>
      <c r="D86" s="867" t="s">
        <v>1482</v>
      </c>
      <c r="E86" s="867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59">
        <f>ROUND(I121*0.8,0)</f>
        <v>413029</v>
      </c>
    </row>
    <row r="87" spans="1:10" s="405" customFormat="1" ht="18" customHeight="1">
      <c r="A87" s="870"/>
      <c r="B87" s="867"/>
      <c r="C87" s="867"/>
      <c r="D87" s="867" t="s">
        <v>1483</v>
      </c>
      <c r="E87" s="867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60"/>
    </row>
    <row r="88" spans="1:10" s="405" customFormat="1" ht="18" customHeight="1">
      <c r="A88" s="870"/>
      <c r="B88" s="867"/>
      <c r="C88" s="867"/>
      <c r="D88" s="867" t="s">
        <v>1484</v>
      </c>
      <c r="E88" s="867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60"/>
    </row>
    <row r="89" spans="1:10" s="405" customFormat="1" ht="18" customHeight="1">
      <c r="A89" s="870"/>
      <c r="B89" s="867"/>
      <c r="C89" s="867"/>
      <c r="D89" s="867" t="s">
        <v>1486</v>
      </c>
      <c r="E89" s="867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60"/>
    </row>
    <row r="90" spans="1:10" s="405" customFormat="1" ht="18" customHeight="1">
      <c r="A90" s="870"/>
      <c r="B90" s="867"/>
      <c r="C90" s="867"/>
      <c r="D90" s="867" t="s">
        <v>1487</v>
      </c>
      <c r="E90" s="867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60"/>
    </row>
    <row r="91" spans="1:10" s="405" customFormat="1" ht="18" customHeight="1">
      <c r="A91" s="870"/>
      <c r="B91" s="867"/>
      <c r="C91" s="867"/>
      <c r="D91" s="867" t="s">
        <v>1488</v>
      </c>
      <c r="E91" s="867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60"/>
    </row>
    <row r="92" spans="1:10" s="405" customFormat="1" ht="18" customHeight="1">
      <c r="A92" s="870"/>
      <c r="B92" s="867"/>
      <c r="C92" s="867" t="s">
        <v>1489</v>
      </c>
      <c r="D92" s="867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60"/>
    </row>
    <row r="93" spans="1:10" s="405" customFormat="1" ht="18" customHeight="1">
      <c r="A93" s="870"/>
      <c r="B93" s="867"/>
      <c r="C93" s="867"/>
      <c r="D93" s="867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60"/>
    </row>
    <row r="94" spans="1:10" s="405" customFormat="1" ht="18" customHeight="1">
      <c r="A94" s="870"/>
      <c r="B94" s="867"/>
      <c r="C94" s="867"/>
      <c r="D94" s="867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60"/>
    </row>
    <row r="95" spans="1:10" s="405" customFormat="1" ht="18" customHeight="1">
      <c r="A95" s="870"/>
      <c r="B95" s="867"/>
      <c r="C95" s="867"/>
      <c r="D95" s="867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60"/>
    </row>
    <row r="96" spans="1:10" s="405" customFormat="1" ht="18" customHeight="1">
      <c r="A96" s="870"/>
      <c r="B96" s="867"/>
      <c r="C96" s="867"/>
      <c r="D96" s="867" t="s">
        <v>1494</v>
      </c>
      <c r="E96" s="867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60"/>
    </row>
    <row r="97" spans="1:10" s="405" customFormat="1" ht="18" customHeight="1">
      <c r="A97" s="870"/>
      <c r="B97" s="867"/>
      <c r="C97" s="867"/>
      <c r="D97" s="867" t="s">
        <v>1495</v>
      </c>
      <c r="E97" s="867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60"/>
    </row>
    <row r="98" spans="1:10" s="405" customFormat="1" ht="18" customHeight="1">
      <c r="A98" s="870"/>
      <c r="B98" s="867"/>
      <c r="C98" s="867"/>
      <c r="D98" s="867" t="s">
        <v>1496</v>
      </c>
      <c r="E98" s="867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60"/>
    </row>
    <row r="99" spans="1:10" s="405" customFormat="1" ht="18" customHeight="1">
      <c r="A99" s="870"/>
      <c r="B99" s="867"/>
      <c r="C99" s="867"/>
      <c r="D99" s="867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60"/>
    </row>
    <row r="100" spans="1:10" s="405" customFormat="1" ht="18" customHeight="1">
      <c r="A100" s="870"/>
      <c r="B100" s="867"/>
      <c r="C100" s="867"/>
      <c r="D100" s="867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60"/>
    </row>
    <row r="101" spans="1:10" s="405" customFormat="1" ht="18" customHeight="1">
      <c r="A101" s="870"/>
      <c r="B101" s="867"/>
      <c r="C101" s="867"/>
      <c r="D101" s="867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60"/>
    </row>
    <row r="102" spans="1:10" s="405" customFormat="1" ht="18" customHeight="1">
      <c r="A102" s="870"/>
      <c r="B102" s="867"/>
      <c r="C102" s="867"/>
      <c r="D102" s="867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60"/>
    </row>
    <row r="103" spans="1:10" s="405" customFormat="1" ht="18" customHeight="1">
      <c r="A103" s="870"/>
      <c r="B103" s="867"/>
      <c r="C103" s="867"/>
      <c r="D103" s="867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60"/>
    </row>
    <row r="104" spans="1:10" s="405" customFormat="1" ht="18" customHeight="1">
      <c r="A104" s="870"/>
      <c r="B104" s="867"/>
      <c r="C104" s="867"/>
      <c r="D104" s="867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60"/>
    </row>
    <row r="105" spans="1:10" s="405" customFormat="1" ht="18" customHeight="1">
      <c r="A105" s="870"/>
      <c r="B105" s="867"/>
      <c r="C105" s="867"/>
      <c r="D105" s="867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60"/>
    </row>
    <row r="106" spans="1:10" s="405" customFormat="1" ht="18" customHeight="1">
      <c r="A106" s="870"/>
      <c r="B106" s="867"/>
      <c r="C106" s="867"/>
      <c r="D106" s="867" t="s">
        <v>1506</v>
      </c>
      <c r="E106" s="867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60"/>
    </row>
    <row r="107" spans="1:10" s="405" customFormat="1" ht="18" customHeight="1">
      <c r="A107" s="870"/>
      <c r="B107" s="867"/>
      <c r="C107" s="867" t="s">
        <v>1507</v>
      </c>
      <c r="D107" s="867" t="s">
        <v>1508</v>
      </c>
      <c r="E107" s="867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60"/>
    </row>
    <row r="108" spans="1:10" s="405" customFormat="1" ht="18" customHeight="1">
      <c r="A108" s="870"/>
      <c r="B108" s="867"/>
      <c r="C108" s="867"/>
      <c r="D108" s="867" t="s">
        <v>1509</v>
      </c>
      <c r="E108" s="867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60"/>
    </row>
    <row r="109" spans="1:10" s="405" customFormat="1" ht="18" customHeight="1">
      <c r="A109" s="870"/>
      <c r="B109" s="867"/>
      <c r="C109" s="867"/>
      <c r="D109" s="867" t="s">
        <v>1510</v>
      </c>
      <c r="E109" s="867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60"/>
    </row>
    <row r="110" spans="1:10" s="405" customFormat="1" ht="18" customHeight="1">
      <c r="A110" s="870"/>
      <c r="B110" s="867"/>
      <c r="C110" s="867" t="s">
        <v>1511</v>
      </c>
      <c r="D110" s="870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60"/>
    </row>
    <row r="111" spans="1:10" s="405" customFormat="1" ht="18" customHeight="1">
      <c r="A111" s="870"/>
      <c r="B111" s="867"/>
      <c r="C111" s="867"/>
      <c r="D111" s="870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60"/>
    </row>
    <row r="112" spans="1:10" s="405" customFormat="1" ht="18" customHeight="1">
      <c r="A112" s="870"/>
      <c r="B112" s="867"/>
      <c r="C112" s="867"/>
      <c r="D112" s="870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60"/>
    </row>
    <row r="113" spans="1:10 16362:16362" s="405" customFormat="1" ht="18" customHeight="1">
      <c r="A113" s="870"/>
      <c r="B113" s="867"/>
      <c r="C113" s="867"/>
      <c r="D113" s="870" t="s">
        <v>1515</v>
      </c>
      <c r="E113" s="870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60"/>
    </row>
    <row r="114" spans="1:10 16362:16362" s="405" customFormat="1" ht="18" customHeight="1">
      <c r="A114" s="870"/>
      <c r="B114" s="867"/>
      <c r="C114" s="867"/>
      <c r="D114" s="870" t="s">
        <v>1516</v>
      </c>
      <c r="E114" s="870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60"/>
    </row>
    <row r="115" spans="1:10 16362:16362" s="410" customFormat="1" ht="18" customHeight="1">
      <c r="A115" s="859"/>
      <c r="B115" s="858"/>
      <c r="C115" s="858" t="s">
        <v>1424</v>
      </c>
      <c r="D115" s="858"/>
      <c r="E115" s="858"/>
      <c r="F115" s="414"/>
      <c r="G115" s="409"/>
      <c r="H115" s="409"/>
      <c r="I115" s="415">
        <f>SUM(I86:I114)</f>
        <v>469351.03</v>
      </c>
      <c r="J115" s="860"/>
      <c r="XEH115" s="416"/>
    </row>
    <row r="116" spans="1:10 16362:16362" s="405" customFormat="1" ht="18" customHeight="1">
      <c r="A116" s="870"/>
      <c r="B116" s="867"/>
      <c r="C116" s="866" t="s">
        <v>1408</v>
      </c>
      <c r="D116" s="866"/>
      <c r="E116" s="866"/>
      <c r="F116" s="867" t="s">
        <v>1376</v>
      </c>
      <c r="G116" s="868">
        <v>1</v>
      </c>
      <c r="H116" s="863">
        <f>I115*0.1</f>
        <v>46935.103000000003</v>
      </c>
      <c r="I116" s="863">
        <f>G116*H116</f>
        <v>46935.103000000003</v>
      </c>
      <c r="J116" s="860"/>
    </row>
    <row r="117" spans="1:10 16362:16362" s="405" customFormat="1" ht="18" customHeight="1">
      <c r="A117" s="870"/>
      <c r="B117" s="867"/>
      <c r="C117" s="866" t="s">
        <v>1425</v>
      </c>
      <c r="D117" s="866"/>
      <c r="E117" s="866"/>
      <c r="F117" s="867"/>
      <c r="G117" s="868"/>
      <c r="H117" s="863"/>
      <c r="I117" s="864"/>
      <c r="J117" s="860"/>
    </row>
    <row r="118" spans="1:10 16362:16362" s="405" customFormat="1" ht="18" customHeight="1">
      <c r="A118" s="870"/>
      <c r="B118" s="867"/>
      <c r="C118" s="866" t="s">
        <v>1409</v>
      </c>
      <c r="D118" s="866"/>
      <c r="E118" s="866"/>
      <c r="F118" s="867"/>
      <c r="G118" s="868"/>
      <c r="H118" s="863"/>
      <c r="I118" s="864"/>
      <c r="J118" s="860"/>
    </row>
    <row r="119" spans="1:10 16362:16362" s="405" customFormat="1" ht="18" customHeight="1">
      <c r="A119" s="870"/>
      <c r="B119" s="867"/>
      <c r="C119" s="866" t="s">
        <v>1410</v>
      </c>
      <c r="D119" s="866"/>
      <c r="E119" s="866"/>
      <c r="F119" s="867"/>
      <c r="G119" s="868"/>
      <c r="H119" s="863"/>
      <c r="I119" s="864"/>
      <c r="J119" s="860"/>
    </row>
    <row r="120" spans="1:10 16362:16362" s="405" customFormat="1" ht="18" customHeight="1">
      <c r="A120" s="870"/>
      <c r="B120" s="867"/>
      <c r="C120" s="858" t="s">
        <v>1427</v>
      </c>
      <c r="D120" s="858"/>
      <c r="E120" s="858"/>
      <c r="F120" s="411"/>
      <c r="G120" s="409"/>
      <c r="H120" s="409"/>
      <c r="I120" s="415">
        <f>SUM(I116:I119)</f>
        <v>46935.103000000003</v>
      </c>
      <c r="J120" s="860"/>
    </row>
    <row r="121" spans="1:10 16362:16362" s="405" customFormat="1" ht="18" customHeight="1">
      <c r="A121" s="407"/>
      <c r="B121" s="411"/>
      <c r="C121" s="858" t="s">
        <v>1428</v>
      </c>
      <c r="D121" s="858"/>
      <c r="E121" s="858"/>
      <c r="F121" s="411"/>
      <c r="G121" s="409"/>
      <c r="H121" s="409"/>
      <c r="I121" s="415">
        <f>I115+I120</f>
        <v>516286.13300000003</v>
      </c>
      <c r="J121" s="860"/>
    </row>
    <row r="122" spans="1:10 16362:16362" s="405" customFormat="1" ht="18" customHeight="1">
      <c r="A122" s="867">
        <v>6</v>
      </c>
      <c r="B122" s="867" t="s">
        <v>1517</v>
      </c>
      <c r="C122" s="867" t="s">
        <v>1518</v>
      </c>
      <c r="D122" s="867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59">
        <f>ROUND(I147*0.8,0)</f>
        <v>728312</v>
      </c>
    </row>
    <row r="123" spans="1:10 16362:16362" s="405" customFormat="1" ht="18" customHeight="1">
      <c r="A123" s="867"/>
      <c r="B123" s="867"/>
      <c r="C123" s="867"/>
      <c r="D123" s="867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60"/>
    </row>
    <row r="124" spans="1:10 16362:16362" s="405" customFormat="1" ht="18" customHeight="1">
      <c r="A124" s="867"/>
      <c r="B124" s="867"/>
      <c r="C124" s="867"/>
      <c r="D124" s="867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60"/>
    </row>
    <row r="125" spans="1:10 16362:16362" s="405" customFormat="1" ht="18" customHeight="1">
      <c r="A125" s="867"/>
      <c r="B125" s="867"/>
      <c r="C125" s="867"/>
      <c r="D125" s="867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60"/>
    </row>
    <row r="126" spans="1:10 16362:16362" s="405" customFormat="1" ht="18" customHeight="1">
      <c r="A126" s="867"/>
      <c r="B126" s="867"/>
      <c r="C126" s="867"/>
      <c r="D126" s="867" t="s">
        <v>1522</v>
      </c>
      <c r="E126" s="867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60"/>
    </row>
    <row r="127" spans="1:10 16362:16362" s="405" customFormat="1" ht="18" customHeight="1">
      <c r="A127" s="867"/>
      <c r="B127" s="867"/>
      <c r="C127" s="867"/>
      <c r="D127" s="867" t="s">
        <v>1523</v>
      </c>
      <c r="E127" s="867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60"/>
    </row>
    <row r="128" spans="1:10 16362:16362" s="405" customFormat="1" ht="18" customHeight="1">
      <c r="A128" s="867"/>
      <c r="B128" s="867"/>
      <c r="C128" s="867"/>
      <c r="D128" s="867" t="s">
        <v>1524</v>
      </c>
      <c r="E128" s="867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60"/>
    </row>
    <row r="129" spans="1:10 16362:16362" s="405" customFormat="1" ht="18" customHeight="1">
      <c r="A129" s="867"/>
      <c r="B129" s="867"/>
      <c r="C129" s="867" t="s">
        <v>1526</v>
      </c>
      <c r="D129" s="867" t="s">
        <v>1527</v>
      </c>
      <c r="E129" s="867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60"/>
    </row>
    <row r="130" spans="1:10 16362:16362" s="405" customFormat="1" ht="18" customHeight="1">
      <c r="A130" s="867"/>
      <c r="B130" s="867"/>
      <c r="C130" s="867"/>
      <c r="D130" s="867" t="s">
        <v>1528</v>
      </c>
      <c r="E130" s="867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60"/>
    </row>
    <row r="131" spans="1:10 16362:16362" s="405" customFormat="1" ht="18" customHeight="1">
      <c r="A131" s="867"/>
      <c r="B131" s="867"/>
      <c r="C131" s="867"/>
      <c r="D131" s="867" t="s">
        <v>1477</v>
      </c>
      <c r="E131" s="867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60"/>
    </row>
    <row r="132" spans="1:10 16362:16362" s="405" customFormat="1" ht="18" customHeight="1">
      <c r="A132" s="867"/>
      <c r="B132" s="867"/>
      <c r="C132" s="867" t="s">
        <v>281</v>
      </c>
      <c r="D132" s="867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60"/>
    </row>
    <row r="133" spans="1:10 16362:16362" s="405" customFormat="1" ht="18" customHeight="1">
      <c r="A133" s="867"/>
      <c r="B133" s="867"/>
      <c r="C133" s="867"/>
      <c r="D133" s="867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60"/>
    </row>
    <row r="134" spans="1:10 16362:16362" s="405" customFormat="1" ht="18" customHeight="1">
      <c r="A134" s="867"/>
      <c r="B134" s="867"/>
      <c r="C134" s="867"/>
      <c r="D134" s="867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60"/>
    </row>
    <row r="135" spans="1:10 16362:16362" s="405" customFormat="1" ht="18" customHeight="1">
      <c r="A135" s="867"/>
      <c r="B135" s="867"/>
      <c r="C135" s="867"/>
      <c r="D135" s="867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60"/>
    </row>
    <row r="136" spans="1:10 16362:16362" s="405" customFormat="1" ht="18" customHeight="1">
      <c r="A136" s="867"/>
      <c r="B136" s="867"/>
      <c r="C136" s="867"/>
      <c r="D136" s="867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60"/>
    </row>
    <row r="137" spans="1:10 16362:16362" s="405" customFormat="1" ht="18" customHeight="1">
      <c r="A137" s="867"/>
      <c r="B137" s="867"/>
      <c r="C137" s="867"/>
      <c r="D137" s="867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60"/>
    </row>
    <row r="138" spans="1:10 16362:16362" s="405" customFormat="1" ht="18" customHeight="1">
      <c r="A138" s="867"/>
      <c r="B138" s="867"/>
      <c r="C138" s="867"/>
      <c r="D138" s="867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60"/>
    </row>
    <row r="139" spans="1:10 16362:16362" s="405" customFormat="1" ht="18" customHeight="1">
      <c r="A139" s="867"/>
      <c r="B139" s="867"/>
      <c r="C139" s="867"/>
      <c r="D139" s="867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60"/>
    </row>
    <row r="140" spans="1:10 16362:16362" s="410" customFormat="1" ht="18" customHeight="1">
      <c r="A140" s="858"/>
      <c r="B140" s="858"/>
      <c r="C140" s="858" t="s">
        <v>1424</v>
      </c>
      <c r="D140" s="858"/>
      <c r="E140" s="858"/>
      <c r="F140" s="414"/>
      <c r="G140" s="409"/>
      <c r="H140" s="409"/>
      <c r="I140" s="415">
        <f>SUM(I122:I139)</f>
        <v>645808.98999999987</v>
      </c>
      <c r="J140" s="860"/>
      <c r="XEH140" s="416"/>
    </row>
    <row r="141" spans="1:10 16362:16362" s="405" customFormat="1" ht="18" customHeight="1">
      <c r="A141" s="867"/>
      <c r="B141" s="867"/>
      <c r="C141" s="866" t="s">
        <v>1408</v>
      </c>
      <c r="D141" s="866"/>
      <c r="E141" s="866"/>
      <c r="F141" s="867" t="s">
        <v>1376</v>
      </c>
      <c r="G141" s="868">
        <v>1</v>
      </c>
      <c r="H141" s="869">
        <f>I140*0.1</f>
        <v>64580.89899999999</v>
      </c>
      <c r="I141" s="870">
        <f>G141*H141</f>
        <v>64580.89899999999</v>
      </c>
      <c r="J141" s="860"/>
    </row>
    <row r="142" spans="1:10 16362:16362" s="405" customFormat="1" ht="18" customHeight="1">
      <c r="A142" s="867"/>
      <c r="B142" s="867"/>
      <c r="C142" s="866" t="s">
        <v>1425</v>
      </c>
      <c r="D142" s="866"/>
      <c r="E142" s="866"/>
      <c r="F142" s="867"/>
      <c r="G142" s="868"/>
      <c r="H142" s="869"/>
      <c r="I142" s="870"/>
      <c r="J142" s="860"/>
    </row>
    <row r="143" spans="1:10 16362:16362" s="405" customFormat="1" ht="18" customHeight="1">
      <c r="A143" s="867"/>
      <c r="B143" s="867"/>
      <c r="C143" s="866" t="s">
        <v>1409</v>
      </c>
      <c r="D143" s="866"/>
      <c r="E143" s="866"/>
      <c r="F143" s="867"/>
      <c r="G143" s="868"/>
      <c r="H143" s="869"/>
      <c r="I143" s="870"/>
      <c r="J143" s="860"/>
    </row>
    <row r="144" spans="1:10 16362:16362" s="405" customFormat="1" ht="18" customHeight="1">
      <c r="A144" s="867"/>
      <c r="B144" s="867"/>
      <c r="C144" s="866" t="s">
        <v>1410</v>
      </c>
      <c r="D144" s="866"/>
      <c r="E144" s="866"/>
      <c r="F144" s="867"/>
      <c r="G144" s="868"/>
      <c r="H144" s="869"/>
      <c r="I144" s="870"/>
      <c r="J144" s="860"/>
    </row>
    <row r="145" spans="1:10 16362:16362" s="405" customFormat="1" ht="18" customHeight="1">
      <c r="A145" s="867"/>
      <c r="B145" s="867"/>
      <c r="C145" s="866" t="s">
        <v>1534</v>
      </c>
      <c r="D145" s="866"/>
      <c r="E145" s="866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60"/>
    </row>
    <row r="146" spans="1:10 16362:16362" s="405" customFormat="1" ht="18" customHeight="1">
      <c r="A146" s="867"/>
      <c r="B146" s="867"/>
      <c r="C146" s="858" t="s">
        <v>1427</v>
      </c>
      <c r="D146" s="858"/>
      <c r="E146" s="858"/>
      <c r="F146" s="411"/>
      <c r="G146" s="409"/>
      <c r="H146" s="409"/>
      <c r="I146" s="409">
        <f>SUM(I141:I145)</f>
        <v>264580.89899999998</v>
      </c>
      <c r="J146" s="860"/>
    </row>
    <row r="147" spans="1:10 16362:16362" s="405" customFormat="1" ht="18" customHeight="1">
      <c r="A147" s="411"/>
      <c r="B147" s="411"/>
      <c r="C147" s="858" t="s">
        <v>1428</v>
      </c>
      <c r="D147" s="858"/>
      <c r="E147" s="858"/>
      <c r="F147" s="411"/>
      <c r="G147" s="409"/>
      <c r="H147" s="409"/>
      <c r="I147" s="409">
        <f>SUM(I146,I140)</f>
        <v>910389.88899999985</v>
      </c>
      <c r="J147" s="860"/>
    </row>
    <row r="148" spans="1:10 16362:16362" s="405" customFormat="1" ht="18" customHeight="1">
      <c r="A148" s="867">
        <v>7</v>
      </c>
      <c r="B148" s="867" t="s">
        <v>1535</v>
      </c>
      <c r="C148" s="867" t="s">
        <v>1421</v>
      </c>
      <c r="D148" s="867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59">
        <f>ROUND(I158*0.8,0)</f>
        <v>544734</v>
      </c>
      <c r="XEH148" s="406"/>
    </row>
    <row r="149" spans="1:10 16362:16362" s="405" customFormat="1" ht="18" customHeight="1">
      <c r="A149" s="867"/>
      <c r="B149" s="867"/>
      <c r="C149" s="867"/>
      <c r="D149" s="867"/>
      <c r="E149" s="422" t="s">
        <v>1538</v>
      </c>
      <c r="F149" s="411" t="s">
        <v>1372</v>
      </c>
      <c r="G149" s="863">
        <v>2006.5</v>
      </c>
      <c r="H149" s="863">
        <v>285</v>
      </c>
      <c r="I149" s="863">
        <v>571852.5</v>
      </c>
      <c r="J149" s="859"/>
      <c r="XEH149" s="406"/>
    </row>
    <row r="150" spans="1:10 16362:16362" s="405" customFormat="1" ht="18" customHeight="1">
      <c r="A150" s="867"/>
      <c r="B150" s="867"/>
      <c r="C150" s="867"/>
      <c r="D150" s="867"/>
      <c r="E150" s="422" t="s">
        <v>1539</v>
      </c>
      <c r="F150" s="411" t="s">
        <v>1372</v>
      </c>
      <c r="G150" s="864"/>
      <c r="H150" s="864"/>
      <c r="I150" s="864"/>
      <c r="J150" s="859"/>
      <c r="XEH150" s="406"/>
    </row>
    <row r="151" spans="1:10 16362:16362" s="405" customFormat="1" ht="18" customHeight="1">
      <c r="A151" s="867"/>
      <c r="B151" s="867"/>
      <c r="C151" s="858" t="s">
        <v>1424</v>
      </c>
      <c r="D151" s="858"/>
      <c r="E151" s="858"/>
      <c r="F151" s="411"/>
      <c r="G151" s="409"/>
      <c r="H151" s="409"/>
      <c r="I151" s="409">
        <f>SUM(I148:I149)</f>
        <v>591743.34</v>
      </c>
      <c r="J151" s="859"/>
      <c r="XEH151" s="406"/>
    </row>
    <row r="152" spans="1:10 16362:16362" s="405" customFormat="1" ht="18" customHeight="1">
      <c r="A152" s="867"/>
      <c r="B152" s="867"/>
      <c r="C152" s="865" t="s">
        <v>1408</v>
      </c>
      <c r="D152" s="865"/>
      <c r="E152" s="865"/>
      <c r="F152" s="411" t="s">
        <v>1376</v>
      </c>
      <c r="G152" s="863">
        <v>1</v>
      </c>
      <c r="H152" s="863">
        <f>I151*0.1</f>
        <v>59174.334000000003</v>
      </c>
      <c r="I152" s="863">
        <f>G152*H152</f>
        <v>59174.334000000003</v>
      </c>
      <c r="J152" s="859"/>
      <c r="XEH152" s="406"/>
    </row>
    <row r="153" spans="1:10 16362:16362" s="405" customFormat="1" ht="18" customHeight="1">
      <c r="A153" s="867"/>
      <c r="B153" s="867"/>
      <c r="C153" s="865" t="s">
        <v>1425</v>
      </c>
      <c r="D153" s="865"/>
      <c r="E153" s="865"/>
      <c r="F153" s="411" t="s">
        <v>1376</v>
      </c>
      <c r="G153" s="863"/>
      <c r="H153" s="863"/>
      <c r="I153" s="863"/>
      <c r="J153" s="859"/>
      <c r="XEH153" s="406"/>
    </row>
    <row r="154" spans="1:10 16362:16362" s="405" customFormat="1" ht="18" customHeight="1">
      <c r="A154" s="867"/>
      <c r="B154" s="867"/>
      <c r="C154" s="865" t="s">
        <v>1409</v>
      </c>
      <c r="D154" s="865"/>
      <c r="E154" s="865"/>
      <c r="F154" s="411" t="s">
        <v>1376</v>
      </c>
      <c r="G154" s="863"/>
      <c r="H154" s="863"/>
      <c r="I154" s="863"/>
      <c r="J154" s="859"/>
      <c r="XEH154" s="406"/>
    </row>
    <row r="155" spans="1:10 16362:16362" s="405" customFormat="1" ht="18" customHeight="1">
      <c r="A155" s="867"/>
      <c r="B155" s="867"/>
      <c r="C155" s="865" t="s">
        <v>1410</v>
      </c>
      <c r="D155" s="865"/>
      <c r="E155" s="865"/>
      <c r="F155" s="411" t="s">
        <v>1376</v>
      </c>
      <c r="G155" s="863"/>
      <c r="H155" s="863"/>
      <c r="I155" s="863"/>
      <c r="J155" s="859"/>
      <c r="XEH155" s="406"/>
    </row>
    <row r="156" spans="1:10 16362:16362" s="405" customFormat="1" ht="18" customHeight="1">
      <c r="A156" s="867"/>
      <c r="B156" s="867"/>
      <c r="C156" s="865" t="s">
        <v>1426</v>
      </c>
      <c r="D156" s="865"/>
      <c r="E156" s="865"/>
      <c r="F156" s="411" t="s">
        <v>1376</v>
      </c>
      <c r="G156" s="412">
        <v>1</v>
      </c>
      <c r="H156" s="412">
        <v>30000</v>
      </c>
      <c r="I156" s="412">
        <v>30000</v>
      </c>
      <c r="J156" s="859"/>
      <c r="XEH156" s="406"/>
    </row>
    <row r="157" spans="1:10 16362:16362" s="405" customFormat="1" ht="18" customHeight="1">
      <c r="A157" s="867"/>
      <c r="B157" s="867"/>
      <c r="C157" s="858" t="s">
        <v>1427</v>
      </c>
      <c r="D157" s="858"/>
      <c r="E157" s="858"/>
      <c r="F157" s="409"/>
      <c r="G157" s="409"/>
      <c r="H157" s="409"/>
      <c r="I157" s="409">
        <f>SUM(I152:I156)</f>
        <v>89174.334000000003</v>
      </c>
      <c r="J157" s="859"/>
      <c r="XEH157" s="406"/>
    </row>
    <row r="158" spans="1:10 16362:16362" s="405" customFormat="1" ht="18" customHeight="1">
      <c r="A158" s="411"/>
      <c r="B158" s="411"/>
      <c r="C158" s="858" t="s">
        <v>1428</v>
      </c>
      <c r="D158" s="858"/>
      <c r="E158" s="858"/>
      <c r="F158" s="409"/>
      <c r="G158" s="409"/>
      <c r="H158" s="409"/>
      <c r="I158" s="409">
        <f>I151+I157</f>
        <v>680917.674</v>
      </c>
      <c r="J158" s="859"/>
      <c r="XEH158" s="406"/>
    </row>
    <row r="159" spans="1:10 16362:16362" ht="18" customHeight="1">
      <c r="A159" s="422"/>
      <c r="B159" s="422"/>
      <c r="C159" s="855" t="s">
        <v>1540</v>
      </c>
      <c r="D159" s="855"/>
      <c r="E159" s="855"/>
      <c r="F159" s="429"/>
      <c r="G159" s="430"/>
      <c r="H159" s="430"/>
      <c r="I159" s="430"/>
      <c r="J159" s="407">
        <f>SUM(J3:J158)</f>
        <v>4719006</v>
      </c>
    </row>
  </sheetData>
  <mergeCells count="176"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56" t="s">
        <v>1585</v>
      </c>
      <c r="B1" s="856"/>
      <c r="C1" s="856"/>
      <c r="D1" s="856"/>
      <c r="E1" s="856"/>
      <c r="F1" s="856"/>
      <c r="G1" s="856"/>
      <c r="H1" s="856"/>
      <c r="I1" s="856"/>
      <c r="J1" s="871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59" t="s">
        <v>1365</v>
      </c>
      <c r="E2" s="859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67">
        <v>1</v>
      </c>
      <c r="B3" s="867" t="s">
        <v>1542</v>
      </c>
      <c r="C3" s="867" t="s">
        <v>1543</v>
      </c>
      <c r="D3" s="867" t="s">
        <v>1544</v>
      </c>
      <c r="E3" s="867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59">
        <f>ROUND(I16*0.8,0)</f>
        <v>201511</v>
      </c>
    </row>
    <row r="4" spans="1:16361" ht="18" customHeight="1">
      <c r="A4" s="867"/>
      <c r="B4" s="867"/>
      <c r="C4" s="867"/>
      <c r="D4" s="867" t="s">
        <v>1545</v>
      </c>
      <c r="E4" s="867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875"/>
    </row>
    <row r="5" spans="1:16361" ht="18" customHeight="1">
      <c r="A5" s="867"/>
      <c r="B5" s="867"/>
      <c r="C5" s="867"/>
      <c r="D5" s="867" t="s">
        <v>1546</v>
      </c>
      <c r="E5" s="867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875"/>
    </row>
    <row r="6" spans="1:16361" ht="18" customHeight="1">
      <c r="A6" s="867"/>
      <c r="B6" s="867"/>
      <c r="C6" s="867"/>
      <c r="D6" s="867" t="s">
        <v>1547</v>
      </c>
      <c r="E6" s="867"/>
      <c r="F6" s="436" t="s">
        <v>1376</v>
      </c>
      <c r="G6" s="412">
        <v>1</v>
      </c>
      <c r="H6" s="413">
        <f>I6/G6</f>
        <v>2815</v>
      </c>
      <c r="I6" s="437">
        <v>2815</v>
      </c>
      <c r="J6" s="875"/>
    </row>
    <row r="7" spans="1:16361" ht="18" customHeight="1">
      <c r="A7" s="867"/>
      <c r="B7" s="867"/>
      <c r="C7" s="867"/>
      <c r="D7" s="867" t="s">
        <v>1548</v>
      </c>
      <c r="E7" s="867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875"/>
    </row>
    <row r="8" spans="1:16361" ht="18" customHeight="1">
      <c r="A8" s="867"/>
      <c r="B8" s="867"/>
      <c r="C8" s="867"/>
      <c r="D8" s="867" t="s">
        <v>1549</v>
      </c>
      <c r="E8" s="867"/>
      <c r="F8" s="436" t="s">
        <v>1388</v>
      </c>
      <c r="G8" s="412">
        <v>0</v>
      </c>
      <c r="H8" s="412">
        <v>0</v>
      </c>
      <c r="I8" s="437">
        <v>0</v>
      </c>
      <c r="J8" s="875"/>
    </row>
    <row r="9" spans="1:16361" ht="18" customHeight="1">
      <c r="A9" s="867"/>
      <c r="B9" s="867"/>
      <c r="C9" s="867"/>
      <c r="D9" s="867" t="s">
        <v>1550</v>
      </c>
      <c r="E9" s="867"/>
      <c r="F9" s="436" t="s">
        <v>1101</v>
      </c>
      <c r="G9" s="412">
        <v>6</v>
      </c>
      <c r="H9" s="413">
        <f>I9/G9</f>
        <v>1600</v>
      </c>
      <c r="I9" s="437">
        <v>9600</v>
      </c>
      <c r="J9" s="875"/>
    </row>
    <row r="10" spans="1:16361" s="416" customFormat="1" ht="18" customHeight="1">
      <c r="A10" s="858"/>
      <c r="B10" s="858"/>
      <c r="C10" s="858" t="s">
        <v>1424</v>
      </c>
      <c r="D10" s="858"/>
      <c r="E10" s="858"/>
      <c r="F10" s="438"/>
      <c r="G10" s="409"/>
      <c r="H10" s="409"/>
      <c r="I10" s="439">
        <f>SUM(I3:I9)</f>
        <v>224081</v>
      </c>
      <c r="J10" s="875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67"/>
      <c r="B11" s="867"/>
      <c r="C11" s="865" t="s">
        <v>1408</v>
      </c>
      <c r="D11" s="865"/>
      <c r="E11" s="865"/>
      <c r="F11" s="884" t="s">
        <v>1376</v>
      </c>
      <c r="G11" s="887">
        <v>1</v>
      </c>
      <c r="H11" s="897">
        <f>I10*0.1</f>
        <v>22408.100000000002</v>
      </c>
      <c r="I11" s="898">
        <f>G11*H11</f>
        <v>22408.100000000002</v>
      </c>
      <c r="J11" s="875"/>
    </row>
    <row r="12" spans="1:16361" ht="18" customHeight="1">
      <c r="A12" s="867"/>
      <c r="B12" s="867"/>
      <c r="C12" s="865" t="s">
        <v>1409</v>
      </c>
      <c r="D12" s="865"/>
      <c r="E12" s="865"/>
      <c r="F12" s="885"/>
      <c r="G12" s="888"/>
      <c r="H12" s="897"/>
      <c r="I12" s="899"/>
      <c r="J12" s="875"/>
    </row>
    <row r="13" spans="1:16361" ht="18" customHeight="1">
      <c r="A13" s="867"/>
      <c r="B13" s="867"/>
      <c r="C13" s="865" t="s">
        <v>1410</v>
      </c>
      <c r="D13" s="865"/>
      <c r="E13" s="865"/>
      <c r="F13" s="886"/>
      <c r="G13" s="889"/>
      <c r="H13" s="897"/>
      <c r="I13" s="900"/>
      <c r="J13" s="875"/>
    </row>
    <row r="14" spans="1:16361" ht="18" customHeight="1">
      <c r="A14" s="867"/>
      <c r="B14" s="867"/>
      <c r="C14" s="865" t="s">
        <v>1415</v>
      </c>
      <c r="D14" s="865"/>
      <c r="E14" s="865"/>
      <c r="F14" s="436" t="s">
        <v>1376</v>
      </c>
      <c r="G14" s="413">
        <v>1</v>
      </c>
      <c r="H14" s="430">
        <v>5400</v>
      </c>
      <c r="I14" s="440">
        <f>H14</f>
        <v>5400</v>
      </c>
      <c r="J14" s="875"/>
    </row>
    <row r="15" spans="1:16361" ht="18" customHeight="1">
      <c r="A15" s="867"/>
      <c r="B15" s="867"/>
      <c r="C15" s="858" t="s">
        <v>1427</v>
      </c>
      <c r="D15" s="858"/>
      <c r="E15" s="858"/>
      <c r="F15" s="436"/>
      <c r="G15" s="409"/>
      <c r="H15" s="409"/>
      <c r="I15" s="439">
        <f>SUM(I11:I14)</f>
        <v>27808.100000000002</v>
      </c>
      <c r="J15" s="875"/>
    </row>
    <row r="16" spans="1:16361" ht="18" customHeight="1">
      <c r="A16" s="411"/>
      <c r="B16" s="411"/>
      <c r="C16" s="858" t="s">
        <v>1428</v>
      </c>
      <c r="D16" s="858"/>
      <c r="E16" s="858"/>
      <c r="F16" s="436"/>
      <c r="G16" s="409"/>
      <c r="H16" s="409"/>
      <c r="I16" s="439">
        <f>I10+I15</f>
        <v>251889.1</v>
      </c>
      <c r="J16" s="875"/>
    </row>
    <row r="17" spans="1:16362" ht="18" customHeight="1">
      <c r="A17" s="867">
        <v>2</v>
      </c>
      <c r="B17" s="867" t="s">
        <v>1551</v>
      </c>
      <c r="C17" s="411" t="s">
        <v>1543</v>
      </c>
      <c r="D17" s="867" t="s">
        <v>1552</v>
      </c>
      <c r="E17" s="867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59">
        <f>ROUND(I25*0.8,0)</f>
        <v>380160</v>
      </c>
    </row>
    <row r="18" spans="1:16362" ht="18" customHeight="1">
      <c r="A18" s="867"/>
      <c r="B18" s="867"/>
      <c r="C18" s="411" t="s">
        <v>1553</v>
      </c>
      <c r="D18" s="867" t="s">
        <v>1554</v>
      </c>
      <c r="E18" s="867"/>
      <c r="F18" s="436" t="s">
        <v>1376</v>
      </c>
      <c r="G18" s="412">
        <v>0</v>
      </c>
      <c r="H18" s="412">
        <v>0</v>
      </c>
      <c r="I18" s="437">
        <v>0</v>
      </c>
      <c r="J18" s="875"/>
    </row>
    <row r="19" spans="1:16362" ht="18" customHeight="1">
      <c r="A19" s="867"/>
      <c r="B19" s="867"/>
      <c r="C19" s="858" t="s">
        <v>1424</v>
      </c>
      <c r="D19" s="858"/>
      <c r="E19" s="858"/>
      <c r="F19" s="436"/>
      <c r="G19" s="412"/>
      <c r="H19" s="412"/>
      <c r="I19" s="439">
        <f>I17+I18</f>
        <v>432000</v>
      </c>
      <c r="J19" s="875"/>
    </row>
    <row r="20" spans="1:16362" ht="18" customHeight="1">
      <c r="A20" s="867"/>
      <c r="B20" s="867"/>
      <c r="C20" s="865" t="s">
        <v>1408</v>
      </c>
      <c r="D20" s="865"/>
      <c r="E20" s="865"/>
      <c r="F20" s="884" t="s">
        <v>1376</v>
      </c>
      <c r="G20" s="887">
        <v>1</v>
      </c>
      <c r="H20" s="876">
        <f>I19*0.1</f>
        <v>43200</v>
      </c>
      <c r="I20" s="879">
        <f>G20*H20</f>
        <v>43200</v>
      </c>
      <c r="J20" s="875"/>
    </row>
    <row r="21" spans="1:16362" ht="18" customHeight="1">
      <c r="A21" s="867"/>
      <c r="B21" s="867"/>
      <c r="C21" s="865" t="s">
        <v>1409</v>
      </c>
      <c r="D21" s="865"/>
      <c r="E21" s="865"/>
      <c r="F21" s="885"/>
      <c r="G21" s="888"/>
      <c r="H21" s="877"/>
      <c r="I21" s="880"/>
      <c r="J21" s="875"/>
    </row>
    <row r="22" spans="1:16362" ht="18" customHeight="1">
      <c r="A22" s="867"/>
      <c r="B22" s="867"/>
      <c r="C22" s="865" t="s">
        <v>1410</v>
      </c>
      <c r="D22" s="865"/>
      <c r="E22" s="865"/>
      <c r="F22" s="885"/>
      <c r="G22" s="888"/>
      <c r="H22" s="877"/>
      <c r="I22" s="880"/>
      <c r="J22" s="875"/>
    </row>
    <row r="23" spans="1:16362" s="420" customFormat="1" ht="18" customHeight="1">
      <c r="A23" s="867"/>
      <c r="B23" s="867"/>
      <c r="C23" s="892" t="s">
        <v>1412</v>
      </c>
      <c r="D23" s="893"/>
      <c r="E23" s="894"/>
      <c r="F23" s="886"/>
      <c r="G23" s="889"/>
      <c r="H23" s="878"/>
      <c r="I23" s="881"/>
      <c r="J23" s="875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67"/>
      <c r="B24" s="867"/>
      <c r="C24" s="858" t="s">
        <v>1427</v>
      </c>
      <c r="D24" s="858"/>
      <c r="E24" s="858"/>
      <c r="F24" s="436"/>
      <c r="G24" s="409"/>
      <c r="H24" s="409"/>
      <c r="I24" s="439">
        <f>SUM(I20:I23)</f>
        <v>43200</v>
      </c>
      <c r="J24" s="875"/>
    </row>
    <row r="25" spans="1:16362" ht="18" customHeight="1">
      <c r="A25" s="411"/>
      <c r="B25" s="411"/>
      <c r="C25" s="858" t="s">
        <v>1428</v>
      </c>
      <c r="D25" s="858"/>
      <c r="E25" s="858"/>
      <c r="F25" s="436"/>
      <c r="G25" s="409"/>
      <c r="H25" s="409"/>
      <c r="I25" s="439">
        <f>I19+I24</f>
        <v>475200</v>
      </c>
      <c r="J25" s="875"/>
    </row>
    <row r="26" spans="1:16362" ht="18" customHeight="1">
      <c r="A26" s="867">
        <v>3</v>
      </c>
      <c r="B26" s="867" t="s">
        <v>1555</v>
      </c>
      <c r="C26" s="867" t="s">
        <v>1430</v>
      </c>
      <c r="D26" s="867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59">
        <f>ROUND(I43*0.8,0)</f>
        <v>379704</v>
      </c>
    </row>
    <row r="27" spans="1:16362" ht="18" customHeight="1">
      <c r="A27" s="867"/>
      <c r="B27" s="867"/>
      <c r="C27" s="867"/>
      <c r="D27" s="867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875"/>
    </row>
    <row r="28" spans="1:16362" ht="18" customHeight="1">
      <c r="A28" s="867"/>
      <c r="B28" s="867"/>
      <c r="C28" s="867"/>
      <c r="D28" s="867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875"/>
    </row>
    <row r="29" spans="1:16362" ht="18" customHeight="1">
      <c r="A29" s="867"/>
      <c r="B29" s="867"/>
      <c r="C29" s="867"/>
      <c r="D29" s="867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875"/>
    </row>
    <row r="30" spans="1:16362" ht="18" customHeight="1">
      <c r="A30" s="867"/>
      <c r="B30" s="867"/>
      <c r="C30" s="867"/>
      <c r="D30" s="867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875"/>
    </row>
    <row r="31" spans="1:16362" ht="18" customHeight="1">
      <c r="A31" s="867"/>
      <c r="B31" s="867"/>
      <c r="C31" s="867"/>
      <c r="D31" s="867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875"/>
    </row>
    <row r="32" spans="1:16362" ht="18" customHeight="1">
      <c r="A32" s="867"/>
      <c r="B32" s="867"/>
      <c r="C32" s="867"/>
      <c r="D32" s="867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875"/>
    </row>
    <row r="33" spans="1:16361" ht="18" customHeight="1">
      <c r="A33" s="867"/>
      <c r="B33" s="867"/>
      <c r="C33" s="867"/>
      <c r="D33" s="867" t="s">
        <v>1559</v>
      </c>
      <c r="E33" s="867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875"/>
    </row>
    <row r="34" spans="1:16361" ht="18" customHeight="1">
      <c r="A34" s="867"/>
      <c r="B34" s="867"/>
      <c r="C34" s="867"/>
      <c r="D34" s="867" t="s">
        <v>1560</v>
      </c>
      <c r="E34" s="867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875"/>
    </row>
    <row r="35" spans="1:16361" ht="18" customHeight="1">
      <c r="A35" s="867"/>
      <c r="B35" s="867"/>
      <c r="C35" s="867"/>
      <c r="D35" s="867" t="s">
        <v>1561</v>
      </c>
      <c r="E35" s="867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875"/>
    </row>
    <row r="36" spans="1:16361" ht="18" customHeight="1">
      <c r="A36" s="867"/>
      <c r="B36" s="867"/>
      <c r="C36" s="867"/>
      <c r="D36" s="867" t="s">
        <v>1562</v>
      </c>
      <c r="E36" s="867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875"/>
    </row>
    <row r="37" spans="1:16361" ht="18" customHeight="1">
      <c r="A37" s="867"/>
      <c r="B37" s="867"/>
      <c r="C37" s="867"/>
      <c r="D37" s="867" t="s">
        <v>1563</v>
      </c>
      <c r="E37" s="867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875"/>
    </row>
    <row r="38" spans="1:16361" s="416" customFormat="1" ht="18" customHeight="1">
      <c r="A38" s="858"/>
      <c r="B38" s="858"/>
      <c r="C38" s="858" t="s">
        <v>1424</v>
      </c>
      <c r="D38" s="858"/>
      <c r="E38" s="858"/>
      <c r="F38" s="414"/>
      <c r="G38" s="409"/>
      <c r="H38" s="409"/>
      <c r="I38" s="439">
        <f>SUM(I26:I37)</f>
        <v>431481.98</v>
      </c>
      <c r="J38" s="875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67"/>
      <c r="B39" s="867"/>
      <c r="C39" s="865" t="s">
        <v>1408</v>
      </c>
      <c r="D39" s="865"/>
      <c r="E39" s="865"/>
      <c r="F39" s="890" t="s">
        <v>1376</v>
      </c>
      <c r="G39" s="887">
        <v>1</v>
      </c>
      <c r="H39" s="876">
        <f>I38*0.1</f>
        <v>43148.198000000004</v>
      </c>
      <c r="I39" s="879">
        <f>G39*H39</f>
        <v>43148.198000000004</v>
      </c>
      <c r="J39" s="875"/>
    </row>
    <row r="40" spans="1:16361" ht="18" customHeight="1">
      <c r="A40" s="867"/>
      <c r="B40" s="867"/>
      <c r="C40" s="865" t="s">
        <v>1409</v>
      </c>
      <c r="D40" s="865"/>
      <c r="E40" s="865"/>
      <c r="F40" s="896"/>
      <c r="G40" s="888"/>
      <c r="H40" s="877"/>
      <c r="I40" s="880"/>
      <c r="J40" s="875"/>
    </row>
    <row r="41" spans="1:16361" ht="18" customHeight="1">
      <c r="A41" s="867"/>
      <c r="B41" s="867"/>
      <c r="C41" s="865" t="s">
        <v>1410</v>
      </c>
      <c r="D41" s="865"/>
      <c r="E41" s="865"/>
      <c r="F41" s="891"/>
      <c r="G41" s="889"/>
      <c r="H41" s="878"/>
      <c r="I41" s="881"/>
      <c r="J41" s="875"/>
    </row>
    <row r="42" spans="1:16361" ht="18" customHeight="1">
      <c r="A42" s="867"/>
      <c r="B42" s="867"/>
      <c r="C42" s="858" t="s">
        <v>1427</v>
      </c>
      <c r="D42" s="858"/>
      <c r="E42" s="858"/>
      <c r="F42" s="411"/>
      <c r="G42" s="409"/>
      <c r="H42" s="409"/>
      <c r="I42" s="439">
        <f>SUM(I39:I41)</f>
        <v>43148.198000000004</v>
      </c>
      <c r="J42" s="875"/>
    </row>
    <row r="43" spans="1:16361" ht="18" customHeight="1">
      <c r="A43" s="411"/>
      <c r="B43" s="411"/>
      <c r="C43" s="858" t="s">
        <v>1428</v>
      </c>
      <c r="D43" s="858"/>
      <c r="E43" s="858"/>
      <c r="F43" s="436"/>
      <c r="G43" s="409"/>
      <c r="H43" s="409"/>
      <c r="I43" s="439">
        <f>I38+I42</f>
        <v>474630.17799999996</v>
      </c>
      <c r="J43" s="875"/>
    </row>
    <row r="44" spans="1:16361" ht="18" customHeight="1">
      <c r="A44" s="867">
        <v>4</v>
      </c>
      <c r="B44" s="895" t="s">
        <v>1564</v>
      </c>
      <c r="C44" s="867" t="s">
        <v>1565</v>
      </c>
      <c r="D44" s="867" t="s">
        <v>1566</v>
      </c>
      <c r="E44" s="867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59">
        <f>ROUND(I54*0.8,0)</f>
        <v>83561</v>
      </c>
    </row>
    <row r="45" spans="1:16361" ht="18" customHeight="1">
      <c r="A45" s="867"/>
      <c r="B45" s="895"/>
      <c r="C45" s="867"/>
      <c r="D45" s="867" t="s">
        <v>1567</v>
      </c>
      <c r="E45" s="867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875"/>
    </row>
    <row r="46" spans="1:16361" ht="18" customHeight="1">
      <c r="A46" s="867"/>
      <c r="B46" s="895"/>
      <c r="C46" s="867"/>
      <c r="D46" s="867" t="s">
        <v>1568</v>
      </c>
      <c r="E46" s="867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875"/>
    </row>
    <row r="47" spans="1:16361" ht="18" customHeight="1">
      <c r="A47" s="867"/>
      <c r="B47" s="895"/>
      <c r="C47" s="867"/>
      <c r="D47" s="867" t="s">
        <v>1569</v>
      </c>
      <c r="E47" s="867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875"/>
    </row>
    <row r="48" spans="1:16361" ht="18" customHeight="1">
      <c r="A48" s="867"/>
      <c r="B48" s="895"/>
      <c r="C48" s="867"/>
      <c r="D48" s="867" t="s">
        <v>1570</v>
      </c>
      <c r="E48" s="867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875"/>
    </row>
    <row r="49" spans="1:16361" s="416" customFormat="1" ht="18" customHeight="1">
      <c r="A49" s="858"/>
      <c r="B49" s="855"/>
      <c r="C49" s="858" t="s">
        <v>1424</v>
      </c>
      <c r="D49" s="858"/>
      <c r="E49" s="858"/>
      <c r="F49" s="438"/>
      <c r="G49" s="409"/>
      <c r="H49" s="409"/>
      <c r="I49" s="439">
        <f>SUM(I44:I48)</f>
        <v>94956.1</v>
      </c>
      <c r="J49" s="875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67"/>
      <c r="B50" s="895"/>
      <c r="C50" s="865" t="s">
        <v>1408</v>
      </c>
      <c r="D50" s="865"/>
      <c r="E50" s="865"/>
      <c r="F50" s="884" t="s">
        <v>1376</v>
      </c>
      <c r="G50" s="887">
        <v>1</v>
      </c>
      <c r="H50" s="876">
        <f>I49*0.1</f>
        <v>9495.61</v>
      </c>
      <c r="I50" s="879">
        <f>H50*G50</f>
        <v>9495.61</v>
      </c>
      <c r="J50" s="875"/>
    </row>
    <row r="51" spans="1:16361" ht="18" customHeight="1">
      <c r="A51" s="867"/>
      <c r="B51" s="895"/>
      <c r="C51" s="865" t="s">
        <v>1409</v>
      </c>
      <c r="D51" s="865"/>
      <c r="E51" s="865"/>
      <c r="F51" s="885"/>
      <c r="G51" s="888"/>
      <c r="H51" s="877"/>
      <c r="I51" s="880"/>
      <c r="J51" s="875"/>
    </row>
    <row r="52" spans="1:16361" ht="18" customHeight="1">
      <c r="A52" s="867"/>
      <c r="B52" s="895"/>
      <c r="C52" s="865" t="s">
        <v>1410</v>
      </c>
      <c r="D52" s="865"/>
      <c r="E52" s="865"/>
      <c r="F52" s="886"/>
      <c r="G52" s="889"/>
      <c r="H52" s="878"/>
      <c r="I52" s="881"/>
      <c r="J52" s="875"/>
    </row>
    <row r="53" spans="1:16361" ht="18" customHeight="1">
      <c r="A53" s="867"/>
      <c r="B53" s="895"/>
      <c r="C53" s="858" t="s">
        <v>1427</v>
      </c>
      <c r="D53" s="858"/>
      <c r="E53" s="858"/>
      <c r="F53" s="436"/>
      <c r="G53" s="409"/>
      <c r="H53" s="409"/>
      <c r="I53" s="439">
        <f>SUM(I50:I52)</f>
        <v>9495.61</v>
      </c>
      <c r="J53" s="875"/>
    </row>
    <row r="54" spans="1:16361" ht="18" customHeight="1">
      <c r="A54" s="411"/>
      <c r="B54" s="422"/>
      <c r="C54" s="858" t="s">
        <v>1428</v>
      </c>
      <c r="D54" s="858"/>
      <c r="E54" s="858"/>
      <c r="F54" s="436"/>
      <c r="G54" s="409"/>
      <c r="H54" s="409"/>
      <c r="I54" s="439">
        <f>I49+I53</f>
        <v>104451.71</v>
      </c>
      <c r="J54" s="875"/>
    </row>
    <row r="55" spans="1:16361" ht="18" customHeight="1">
      <c r="A55" s="867">
        <v>5</v>
      </c>
      <c r="B55" s="867" t="s">
        <v>1571</v>
      </c>
      <c r="C55" s="867" t="s">
        <v>1430</v>
      </c>
      <c r="D55" s="867" t="s">
        <v>1572</v>
      </c>
      <c r="E55" s="867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59">
        <f>ROUND(I65*0.8,0)</f>
        <v>312760</v>
      </c>
    </row>
    <row r="56" spans="1:16361" ht="18" customHeight="1">
      <c r="A56" s="867"/>
      <c r="B56" s="867"/>
      <c r="C56" s="867"/>
      <c r="D56" s="867" t="s">
        <v>1573</v>
      </c>
      <c r="E56" s="867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875"/>
    </row>
    <row r="57" spans="1:16361" ht="18" customHeight="1">
      <c r="A57" s="867"/>
      <c r="B57" s="867"/>
      <c r="C57" s="867"/>
      <c r="D57" s="867" t="s">
        <v>1574</v>
      </c>
      <c r="E57" s="867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875"/>
    </row>
    <row r="58" spans="1:16361" ht="18" customHeight="1">
      <c r="A58" s="867"/>
      <c r="B58" s="867"/>
      <c r="C58" s="867"/>
      <c r="D58" s="867" t="s">
        <v>1575</v>
      </c>
      <c r="E58" s="867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875"/>
    </row>
    <row r="59" spans="1:16361" s="416" customFormat="1" ht="18" customHeight="1">
      <c r="A59" s="858"/>
      <c r="B59" s="858"/>
      <c r="C59" s="858" t="s">
        <v>1424</v>
      </c>
      <c r="D59" s="858"/>
      <c r="E59" s="858"/>
      <c r="F59" s="438"/>
      <c r="G59" s="409"/>
      <c r="H59" s="409"/>
      <c r="I59" s="439">
        <f>SUM(I55:I58)</f>
        <v>350500</v>
      </c>
      <c r="J59" s="875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67"/>
      <c r="B60" s="867"/>
      <c r="C60" s="865" t="s">
        <v>1408</v>
      </c>
      <c r="D60" s="865"/>
      <c r="E60" s="865"/>
      <c r="F60" s="884" t="s">
        <v>1376</v>
      </c>
      <c r="G60" s="887">
        <v>1</v>
      </c>
      <c r="H60" s="876">
        <f>I59*0.1</f>
        <v>35050</v>
      </c>
      <c r="I60" s="879">
        <f>G60*H60</f>
        <v>35050</v>
      </c>
      <c r="J60" s="875"/>
    </row>
    <row r="61" spans="1:16361" ht="18" customHeight="1">
      <c r="A61" s="867"/>
      <c r="B61" s="867"/>
      <c r="C61" s="865" t="s">
        <v>1409</v>
      </c>
      <c r="D61" s="865"/>
      <c r="E61" s="865"/>
      <c r="F61" s="885"/>
      <c r="G61" s="888"/>
      <c r="H61" s="877"/>
      <c r="I61" s="880"/>
      <c r="J61" s="875"/>
    </row>
    <row r="62" spans="1:16361" ht="18" customHeight="1">
      <c r="A62" s="867"/>
      <c r="B62" s="867"/>
      <c r="C62" s="865" t="s">
        <v>1410</v>
      </c>
      <c r="D62" s="865"/>
      <c r="E62" s="865"/>
      <c r="F62" s="886"/>
      <c r="G62" s="889"/>
      <c r="H62" s="878"/>
      <c r="I62" s="881"/>
      <c r="J62" s="875"/>
    </row>
    <row r="63" spans="1:16361" ht="18" customHeight="1">
      <c r="A63" s="867"/>
      <c r="B63" s="867"/>
      <c r="C63" s="865" t="s">
        <v>1415</v>
      </c>
      <c r="D63" s="865"/>
      <c r="E63" s="865"/>
      <c r="F63" s="436" t="s">
        <v>1376</v>
      </c>
      <c r="G63" s="413">
        <v>1</v>
      </c>
      <c r="H63" s="413">
        <v>5400</v>
      </c>
      <c r="I63" s="442">
        <f>H63</f>
        <v>5400</v>
      </c>
      <c r="J63" s="875"/>
    </row>
    <row r="64" spans="1:16361" ht="18" customHeight="1">
      <c r="A64" s="867"/>
      <c r="B64" s="867"/>
      <c r="C64" s="858" t="s">
        <v>1427</v>
      </c>
      <c r="D64" s="858"/>
      <c r="E64" s="858"/>
      <c r="F64" s="436"/>
      <c r="G64" s="409"/>
      <c r="H64" s="409"/>
      <c r="I64" s="439">
        <f>SUM(I60:I63)</f>
        <v>40450</v>
      </c>
      <c r="J64" s="875"/>
    </row>
    <row r="65" spans="1:16362" ht="18" customHeight="1">
      <c r="A65" s="411"/>
      <c r="B65" s="411"/>
      <c r="C65" s="858" t="s">
        <v>1428</v>
      </c>
      <c r="D65" s="858"/>
      <c r="E65" s="858"/>
      <c r="F65" s="436"/>
      <c r="G65" s="409"/>
      <c r="H65" s="409"/>
      <c r="I65" s="439">
        <f>I59+I64</f>
        <v>390950</v>
      </c>
      <c r="J65" s="875"/>
    </row>
    <row r="66" spans="1:16362" ht="18" customHeight="1">
      <c r="A66" s="867">
        <v>6</v>
      </c>
      <c r="B66" s="867" t="s">
        <v>1576</v>
      </c>
      <c r="C66" s="867" t="s">
        <v>1430</v>
      </c>
      <c r="D66" s="867" t="s">
        <v>1577</v>
      </c>
      <c r="E66" s="867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59">
        <f>ROUND(I76*0.8,0)</f>
        <v>773417</v>
      </c>
    </row>
    <row r="67" spans="1:16362" ht="18" customHeight="1">
      <c r="A67" s="867"/>
      <c r="B67" s="867"/>
      <c r="C67" s="867"/>
      <c r="D67" s="867" t="s">
        <v>1578</v>
      </c>
      <c r="E67" s="867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875"/>
    </row>
    <row r="68" spans="1:16362" ht="18" customHeight="1">
      <c r="A68" s="867"/>
      <c r="B68" s="867"/>
      <c r="C68" s="411" t="s">
        <v>1421</v>
      </c>
      <c r="D68" s="867" t="s">
        <v>1579</v>
      </c>
      <c r="E68" s="867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875"/>
    </row>
    <row r="69" spans="1:16362" s="416" customFormat="1" ht="18" customHeight="1">
      <c r="A69" s="858"/>
      <c r="B69" s="858"/>
      <c r="C69" s="858" t="s">
        <v>1424</v>
      </c>
      <c r="D69" s="858"/>
      <c r="E69" s="858"/>
      <c r="F69" s="438"/>
      <c r="G69" s="409"/>
      <c r="H69" s="409"/>
      <c r="I69" s="439">
        <f>SUM(I66:I68)</f>
        <v>851610</v>
      </c>
      <c r="J69" s="875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67"/>
      <c r="B70" s="867"/>
      <c r="C70" s="865" t="s">
        <v>1408</v>
      </c>
      <c r="D70" s="865"/>
      <c r="E70" s="865"/>
      <c r="F70" s="884" t="s">
        <v>1376</v>
      </c>
      <c r="G70" s="887">
        <v>1</v>
      </c>
      <c r="H70" s="876">
        <f>I69*0.1</f>
        <v>85161</v>
      </c>
      <c r="I70" s="879">
        <f>G70*H70</f>
        <v>85161</v>
      </c>
      <c r="J70" s="875"/>
    </row>
    <row r="71" spans="1:16362" ht="18" customHeight="1">
      <c r="A71" s="867"/>
      <c r="B71" s="867"/>
      <c r="C71" s="865" t="s">
        <v>1409</v>
      </c>
      <c r="D71" s="865"/>
      <c r="E71" s="865"/>
      <c r="F71" s="885"/>
      <c r="G71" s="888"/>
      <c r="H71" s="877"/>
      <c r="I71" s="880"/>
      <c r="J71" s="875"/>
    </row>
    <row r="72" spans="1:16362" ht="18" customHeight="1">
      <c r="A72" s="867"/>
      <c r="B72" s="867"/>
      <c r="C72" s="865" t="s">
        <v>1410</v>
      </c>
      <c r="D72" s="865"/>
      <c r="E72" s="865"/>
      <c r="F72" s="885"/>
      <c r="G72" s="888"/>
      <c r="H72" s="877"/>
      <c r="I72" s="880"/>
      <c r="J72" s="875"/>
    </row>
    <row r="73" spans="1:16362" s="420" customFormat="1" ht="18" customHeight="1">
      <c r="A73" s="867"/>
      <c r="B73" s="867"/>
      <c r="C73" s="892" t="s">
        <v>1412</v>
      </c>
      <c r="D73" s="893"/>
      <c r="E73" s="894"/>
      <c r="F73" s="886"/>
      <c r="G73" s="889"/>
      <c r="H73" s="878"/>
      <c r="I73" s="881"/>
      <c r="J73" s="875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67"/>
      <c r="B74" s="867"/>
      <c r="C74" s="865" t="s">
        <v>1426</v>
      </c>
      <c r="D74" s="865"/>
      <c r="E74" s="865"/>
      <c r="F74" s="436" t="s">
        <v>1376</v>
      </c>
      <c r="G74" s="413">
        <v>1</v>
      </c>
      <c r="H74" s="430">
        <f>I74</f>
        <v>30000</v>
      </c>
      <c r="I74" s="442">
        <v>30000</v>
      </c>
      <c r="J74" s="875"/>
    </row>
    <row r="75" spans="1:16362" ht="18" customHeight="1">
      <c r="A75" s="867"/>
      <c r="B75" s="867"/>
      <c r="C75" s="858" t="s">
        <v>1427</v>
      </c>
      <c r="D75" s="858"/>
      <c r="E75" s="858"/>
      <c r="F75" s="436"/>
      <c r="G75" s="409"/>
      <c r="H75" s="409"/>
      <c r="I75" s="439">
        <f>SUM(I70:I74)</f>
        <v>115161</v>
      </c>
      <c r="J75" s="875"/>
    </row>
    <row r="76" spans="1:16362" ht="18" customHeight="1">
      <c r="A76" s="411"/>
      <c r="B76" s="411"/>
      <c r="C76" s="858" t="s">
        <v>1428</v>
      </c>
      <c r="D76" s="858"/>
      <c r="E76" s="858"/>
      <c r="F76" s="436"/>
      <c r="G76" s="409"/>
      <c r="H76" s="409"/>
      <c r="I76" s="439">
        <f>I69+I75</f>
        <v>966771</v>
      </c>
      <c r="J76" s="875"/>
    </row>
    <row r="77" spans="1:16362" ht="18" customHeight="1">
      <c r="A77" s="867">
        <v>7</v>
      </c>
      <c r="B77" s="867" t="s">
        <v>1580</v>
      </c>
      <c r="C77" s="867" t="s">
        <v>1430</v>
      </c>
      <c r="D77" s="867" t="s">
        <v>1581</v>
      </c>
      <c r="E77" s="867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59">
        <f>ROUND(I88*0.8,0)</f>
        <v>729264</v>
      </c>
    </row>
    <row r="78" spans="1:16362" ht="18" customHeight="1">
      <c r="A78" s="867"/>
      <c r="B78" s="867"/>
      <c r="C78" s="867"/>
      <c r="D78" s="867" t="s">
        <v>1582</v>
      </c>
      <c r="E78" s="867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875"/>
    </row>
    <row r="79" spans="1:16362" ht="18" customHeight="1">
      <c r="A79" s="867"/>
      <c r="B79" s="867"/>
      <c r="C79" s="867"/>
      <c r="D79" s="867" t="s">
        <v>1583</v>
      </c>
      <c r="E79" s="867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875"/>
    </row>
    <row r="80" spans="1:16362" ht="18" customHeight="1">
      <c r="A80" s="867"/>
      <c r="B80" s="867"/>
      <c r="C80" s="890" t="s">
        <v>1421</v>
      </c>
      <c r="D80" s="867" t="s">
        <v>1584</v>
      </c>
      <c r="E80" s="867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875"/>
    </row>
    <row r="81" spans="1:16361" ht="18" customHeight="1">
      <c r="A81" s="867"/>
      <c r="B81" s="867"/>
      <c r="C81" s="891"/>
      <c r="D81" s="882" t="s">
        <v>1423</v>
      </c>
      <c r="E81" s="883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875"/>
    </row>
    <row r="82" spans="1:16361" s="416" customFormat="1" ht="18" customHeight="1">
      <c r="A82" s="858"/>
      <c r="B82" s="858"/>
      <c r="C82" s="858" t="s">
        <v>1424</v>
      </c>
      <c r="D82" s="858"/>
      <c r="E82" s="858"/>
      <c r="F82" s="438"/>
      <c r="G82" s="409"/>
      <c r="H82" s="409"/>
      <c r="I82" s="439">
        <f>SUM(I77:I81)</f>
        <v>801435.82</v>
      </c>
      <c r="J82" s="875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67"/>
      <c r="B83" s="867"/>
      <c r="C83" s="865" t="s">
        <v>1408</v>
      </c>
      <c r="D83" s="865"/>
      <c r="E83" s="865"/>
      <c r="F83" s="884" t="s">
        <v>1376</v>
      </c>
      <c r="G83" s="887">
        <v>1</v>
      </c>
      <c r="H83" s="876">
        <f>I82*0.1</f>
        <v>80143.581999999995</v>
      </c>
      <c r="I83" s="879">
        <f>G83*H83</f>
        <v>80143.581999999995</v>
      </c>
      <c r="J83" s="875"/>
    </row>
    <row r="84" spans="1:16361" ht="18" customHeight="1">
      <c r="A84" s="867"/>
      <c r="B84" s="867"/>
      <c r="C84" s="865" t="s">
        <v>1409</v>
      </c>
      <c r="D84" s="865"/>
      <c r="E84" s="865"/>
      <c r="F84" s="885"/>
      <c r="G84" s="888"/>
      <c r="H84" s="877"/>
      <c r="I84" s="880"/>
      <c r="J84" s="875"/>
    </row>
    <row r="85" spans="1:16361" ht="18" customHeight="1">
      <c r="A85" s="867"/>
      <c r="B85" s="867"/>
      <c r="C85" s="865" t="s">
        <v>1410</v>
      </c>
      <c r="D85" s="865"/>
      <c r="E85" s="865"/>
      <c r="F85" s="886"/>
      <c r="G85" s="889"/>
      <c r="H85" s="878"/>
      <c r="I85" s="881"/>
      <c r="J85" s="875"/>
    </row>
    <row r="86" spans="1:16361" ht="18" customHeight="1">
      <c r="A86" s="867"/>
      <c r="B86" s="867"/>
      <c r="C86" s="865" t="s">
        <v>1426</v>
      </c>
      <c r="D86" s="865"/>
      <c r="E86" s="865"/>
      <c r="F86" s="436"/>
      <c r="G86" s="413">
        <v>1</v>
      </c>
      <c r="H86" s="430">
        <f>I86</f>
        <v>30000</v>
      </c>
      <c r="I86" s="442">
        <v>30000</v>
      </c>
      <c r="J86" s="875"/>
    </row>
    <row r="87" spans="1:16361" ht="18" customHeight="1">
      <c r="A87" s="867"/>
      <c r="B87" s="867"/>
      <c r="C87" s="858" t="s">
        <v>1427</v>
      </c>
      <c r="D87" s="858"/>
      <c r="E87" s="858"/>
      <c r="F87" s="436"/>
      <c r="G87" s="409"/>
      <c r="H87" s="409"/>
      <c r="I87" s="439">
        <f>SUM(I83:I86)</f>
        <v>110143.58199999999</v>
      </c>
      <c r="J87" s="875"/>
    </row>
    <row r="88" spans="1:16361" ht="18" customHeight="1">
      <c r="A88" s="411"/>
      <c r="B88" s="411"/>
      <c r="C88" s="872" t="s">
        <v>1428</v>
      </c>
      <c r="D88" s="873"/>
      <c r="E88" s="874"/>
      <c r="F88" s="436"/>
      <c r="G88" s="409"/>
      <c r="H88" s="409"/>
      <c r="I88" s="439">
        <f>I82+I87</f>
        <v>911579.402</v>
      </c>
      <c r="J88" s="875"/>
    </row>
    <row r="89" spans="1:16361" ht="18" customHeight="1">
      <c r="A89" s="422"/>
      <c r="B89" s="422"/>
      <c r="C89" s="855" t="s">
        <v>1586</v>
      </c>
      <c r="D89" s="855"/>
      <c r="E89" s="855"/>
      <c r="F89" s="429"/>
      <c r="G89" s="430"/>
      <c r="H89" s="430"/>
      <c r="I89" s="430"/>
      <c r="J89" s="407">
        <f>SUM(J3:J88)</f>
        <v>2860377</v>
      </c>
    </row>
  </sheetData>
  <mergeCells count="139">
    <mergeCell ref="D2:E2"/>
    <mergeCell ref="A3:A15"/>
    <mergeCell ref="B3:B15"/>
    <mergeCell ref="C3:C9"/>
    <mergeCell ref="D3:E3"/>
    <mergeCell ref="D4:E4"/>
    <mergeCell ref="D5:E5"/>
    <mergeCell ref="D6:E6"/>
    <mergeCell ref="D7:E7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901" t="s">
        <v>1587</v>
      </c>
      <c r="B1" s="901"/>
      <c r="C1" s="901"/>
      <c r="D1" s="901"/>
      <c r="E1" s="901"/>
      <c r="F1" s="901"/>
      <c r="G1" s="901"/>
      <c r="H1" s="901"/>
      <c r="I1" s="901"/>
      <c r="J1" s="902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12">
        <v>1</v>
      </c>
      <c r="B3" s="912" t="s">
        <v>1593</v>
      </c>
      <c r="C3" s="913" t="s">
        <v>1369</v>
      </c>
      <c r="D3" s="907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903">
        <f>ROUND(I12*0.8,0)</f>
        <v>639807</v>
      </c>
    </row>
    <row r="4" spans="1:10" ht="17.45" customHeight="1">
      <c r="A4" s="912"/>
      <c r="B4" s="912"/>
      <c r="C4" s="913"/>
      <c r="D4" s="908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904"/>
    </row>
    <row r="5" spans="1:10" ht="17.45" customHeight="1">
      <c r="A5" s="912"/>
      <c r="B5" s="912"/>
      <c r="C5" s="913"/>
      <c r="D5" s="907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904"/>
    </row>
    <row r="6" spans="1:10" ht="17.45" customHeight="1">
      <c r="A6" s="912"/>
      <c r="B6" s="912"/>
      <c r="C6" s="913"/>
      <c r="D6" s="908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904"/>
    </row>
    <row r="7" spans="1:10" ht="17.45" customHeight="1">
      <c r="A7" s="912"/>
      <c r="B7" s="912"/>
      <c r="C7" s="913"/>
      <c r="D7" s="907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904"/>
    </row>
    <row r="8" spans="1:10" ht="17.45" customHeight="1">
      <c r="A8" s="912"/>
      <c r="B8" s="912"/>
      <c r="C8" s="913"/>
      <c r="D8" s="919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904"/>
    </row>
    <row r="9" spans="1:10" ht="17.45" customHeight="1">
      <c r="A9" s="912"/>
      <c r="B9" s="912"/>
      <c r="C9" s="913"/>
      <c r="D9" s="908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904"/>
    </row>
    <row r="10" spans="1:10" s="455" customFormat="1" ht="17.45" customHeight="1">
      <c r="A10" s="912"/>
      <c r="B10" s="912"/>
      <c r="C10" s="909" t="s">
        <v>1424</v>
      </c>
      <c r="D10" s="910"/>
      <c r="E10" s="911"/>
      <c r="F10" s="451"/>
      <c r="G10" s="452"/>
      <c r="H10" s="453"/>
      <c r="I10" s="454">
        <f>SUM(I3:I9)</f>
        <v>685537</v>
      </c>
      <c r="J10" s="904"/>
    </row>
    <row r="11" spans="1:10" s="455" customFormat="1" ht="17.45" customHeight="1">
      <c r="A11" s="912"/>
      <c r="B11" s="912"/>
      <c r="C11" s="915" t="s">
        <v>1603</v>
      </c>
      <c r="D11" s="915"/>
      <c r="E11" s="915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904"/>
    </row>
    <row r="12" spans="1:10" s="455" customFormat="1" ht="17.45" customHeight="1">
      <c r="A12" s="912"/>
      <c r="B12" s="912"/>
      <c r="C12" s="915" t="s">
        <v>1428</v>
      </c>
      <c r="D12" s="915"/>
      <c r="E12" s="915"/>
      <c r="F12" s="451"/>
      <c r="G12" s="452"/>
      <c r="H12" s="453"/>
      <c r="I12" s="457">
        <f>I11+I10</f>
        <v>799759</v>
      </c>
      <c r="J12" s="904"/>
    </row>
    <row r="13" spans="1:10" ht="17.45" customHeight="1">
      <c r="A13" s="913">
        <v>2</v>
      </c>
      <c r="B13" s="912" t="s">
        <v>311</v>
      </c>
      <c r="C13" s="924" t="s">
        <v>1369</v>
      </c>
      <c r="D13" s="912" t="s">
        <v>1421</v>
      </c>
      <c r="E13" s="458" t="s">
        <v>1604</v>
      </c>
      <c r="F13" s="922" t="s">
        <v>1372</v>
      </c>
      <c r="G13" s="920">
        <f>2200*0.8</f>
        <v>1760</v>
      </c>
      <c r="H13" s="920">
        <v>300</v>
      </c>
      <c r="I13" s="922">
        <f t="shared" ref="I13:I17" si="1">H13*G13</f>
        <v>528000</v>
      </c>
      <c r="J13" s="903">
        <f>ROUND(I24*0.8,0)</f>
        <v>1210128</v>
      </c>
    </row>
    <row r="14" spans="1:10" ht="17.45" customHeight="1">
      <c r="A14" s="913"/>
      <c r="B14" s="912"/>
      <c r="C14" s="924"/>
      <c r="D14" s="912"/>
      <c r="E14" s="458" t="s">
        <v>1605</v>
      </c>
      <c r="F14" s="923"/>
      <c r="G14" s="921"/>
      <c r="H14" s="921"/>
      <c r="I14" s="923"/>
      <c r="J14" s="903"/>
    </row>
    <row r="15" spans="1:10" ht="17.45" customHeight="1">
      <c r="A15" s="913"/>
      <c r="B15" s="912"/>
      <c r="C15" s="924"/>
      <c r="D15" s="912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903"/>
    </row>
    <row r="16" spans="1:10" ht="17.45" customHeight="1">
      <c r="A16" s="913"/>
      <c r="B16" s="912"/>
      <c r="C16" s="924"/>
      <c r="D16" s="912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903"/>
    </row>
    <row r="17" spans="1:10" ht="17.45" customHeight="1">
      <c r="A17" s="913"/>
      <c r="B17" s="912"/>
      <c r="C17" s="924"/>
      <c r="D17" s="912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903"/>
    </row>
    <row r="18" spans="1:10" ht="17.45" customHeight="1">
      <c r="A18" s="913"/>
      <c r="B18" s="912"/>
      <c r="C18" s="924"/>
      <c r="D18" s="912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903"/>
    </row>
    <row r="19" spans="1:10" ht="17.45" customHeight="1">
      <c r="A19" s="913"/>
      <c r="B19" s="912"/>
      <c r="C19" s="924"/>
      <c r="D19" s="912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903"/>
    </row>
    <row r="20" spans="1:10" ht="17.45" customHeight="1">
      <c r="A20" s="913"/>
      <c r="B20" s="912"/>
      <c r="C20" s="924"/>
      <c r="D20" s="912"/>
      <c r="E20" s="458" t="s">
        <v>1611</v>
      </c>
      <c r="F20" s="459"/>
      <c r="G20" s="448"/>
      <c r="H20" s="448"/>
      <c r="I20" s="449"/>
      <c r="J20" s="903"/>
    </row>
    <row r="21" spans="1:10" ht="17.45" customHeight="1">
      <c r="A21" s="913"/>
      <c r="B21" s="912"/>
      <c r="C21" s="924"/>
      <c r="D21" s="912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903"/>
    </row>
    <row r="22" spans="1:10" s="462" customFormat="1" ht="17.45" customHeight="1">
      <c r="A22" s="913"/>
      <c r="B22" s="912"/>
      <c r="C22" s="909" t="s">
        <v>1424</v>
      </c>
      <c r="D22" s="910"/>
      <c r="E22" s="911"/>
      <c r="F22" s="460"/>
      <c r="G22" s="453"/>
      <c r="H22" s="453"/>
      <c r="I22" s="461">
        <f>SUM(I13:I21)</f>
        <v>1320600</v>
      </c>
      <c r="J22" s="903"/>
    </row>
    <row r="23" spans="1:10" s="455" customFormat="1" ht="17.45" customHeight="1">
      <c r="A23" s="913"/>
      <c r="B23" s="912"/>
      <c r="C23" s="909" t="s">
        <v>1603</v>
      </c>
      <c r="D23" s="910"/>
      <c r="E23" s="911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903"/>
    </row>
    <row r="24" spans="1:10" s="462" customFormat="1" ht="17.45" customHeight="1">
      <c r="A24" s="913"/>
      <c r="B24" s="912"/>
      <c r="C24" s="909" t="s">
        <v>1428</v>
      </c>
      <c r="D24" s="910"/>
      <c r="E24" s="911"/>
      <c r="F24" s="451"/>
      <c r="G24" s="452"/>
      <c r="H24" s="452"/>
      <c r="I24" s="457">
        <f>I23+I22</f>
        <v>1512660</v>
      </c>
      <c r="J24" s="903"/>
    </row>
    <row r="25" spans="1:10" ht="17.45" customHeight="1">
      <c r="A25" s="912">
        <v>3</v>
      </c>
      <c r="B25" s="912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903">
        <f>ROUND(I28*0.8,0)</f>
        <v>298999</v>
      </c>
    </row>
    <row r="26" spans="1:10" s="462" customFormat="1" ht="17.45" customHeight="1">
      <c r="A26" s="912"/>
      <c r="B26" s="912"/>
      <c r="C26" s="909" t="s">
        <v>1424</v>
      </c>
      <c r="D26" s="910"/>
      <c r="E26" s="911"/>
      <c r="F26" s="451"/>
      <c r="G26" s="452"/>
      <c r="H26" s="453"/>
      <c r="I26" s="454">
        <f>SUM(I25:I25)</f>
        <v>339772</v>
      </c>
      <c r="J26" s="903"/>
    </row>
    <row r="27" spans="1:10" s="455" customFormat="1" ht="17.45" customHeight="1">
      <c r="A27" s="912"/>
      <c r="B27" s="912"/>
      <c r="C27" s="909" t="s">
        <v>1603</v>
      </c>
      <c r="D27" s="910"/>
      <c r="E27" s="911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903"/>
    </row>
    <row r="28" spans="1:10" s="462" customFormat="1" ht="17.45" customHeight="1">
      <c r="A28" s="912"/>
      <c r="B28" s="912"/>
      <c r="C28" s="909" t="s">
        <v>1428</v>
      </c>
      <c r="D28" s="910"/>
      <c r="E28" s="911"/>
      <c r="F28" s="451"/>
      <c r="G28" s="452"/>
      <c r="H28" s="453"/>
      <c r="I28" s="457">
        <f>I27+I26</f>
        <v>373749</v>
      </c>
      <c r="J28" s="903"/>
    </row>
    <row r="29" spans="1:10" ht="17.45" customHeight="1">
      <c r="A29" s="912">
        <v>4</v>
      </c>
      <c r="B29" s="912" t="s">
        <v>315</v>
      </c>
      <c r="C29" s="913" t="s">
        <v>1616</v>
      </c>
      <c r="D29" s="912" t="s">
        <v>1614</v>
      </c>
      <c r="E29" s="463" t="s">
        <v>1617</v>
      </c>
      <c r="F29" s="907" t="s">
        <v>1372</v>
      </c>
      <c r="G29" s="905">
        <f>1150*0.8</f>
        <v>920</v>
      </c>
      <c r="H29" s="905">
        <v>330</v>
      </c>
      <c r="I29" s="907">
        <f>H29*G29</f>
        <v>303600</v>
      </c>
      <c r="J29" s="903">
        <f>ROUND(I34*0.8,0)</f>
        <v>345816</v>
      </c>
    </row>
    <row r="30" spans="1:10" ht="17.45" customHeight="1">
      <c r="A30" s="912"/>
      <c r="B30" s="912"/>
      <c r="C30" s="913"/>
      <c r="D30" s="912"/>
      <c r="E30" s="463" t="s">
        <v>1618</v>
      </c>
      <c r="F30" s="908"/>
      <c r="G30" s="906">
        <v>1150</v>
      </c>
      <c r="H30" s="906">
        <v>45</v>
      </c>
      <c r="I30" s="908"/>
      <c r="J30" s="903"/>
    </row>
    <row r="31" spans="1:10" ht="17.45" customHeight="1">
      <c r="A31" s="912"/>
      <c r="B31" s="912"/>
      <c r="C31" s="913"/>
      <c r="D31" s="912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903"/>
    </row>
    <row r="32" spans="1:10" s="462" customFormat="1" ht="17.45" customHeight="1">
      <c r="A32" s="912"/>
      <c r="B32" s="912"/>
      <c r="C32" s="909" t="s">
        <v>1424</v>
      </c>
      <c r="D32" s="910"/>
      <c r="E32" s="911"/>
      <c r="F32" s="451"/>
      <c r="G32" s="452"/>
      <c r="H32" s="453"/>
      <c r="I32" s="464">
        <f>I29+I31</f>
        <v>365700</v>
      </c>
      <c r="J32" s="903"/>
    </row>
    <row r="33" spans="1:16126" s="455" customFormat="1" ht="17.45" customHeight="1">
      <c r="A33" s="912"/>
      <c r="B33" s="912"/>
      <c r="C33" s="909" t="s">
        <v>1603</v>
      </c>
      <c r="D33" s="910"/>
      <c r="E33" s="911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903"/>
    </row>
    <row r="34" spans="1:16126" s="462" customFormat="1" ht="17.45" customHeight="1">
      <c r="A34" s="912"/>
      <c r="B34" s="912"/>
      <c r="C34" s="909" t="s">
        <v>1428</v>
      </c>
      <c r="D34" s="910"/>
      <c r="E34" s="911"/>
      <c r="F34" s="451"/>
      <c r="G34" s="452"/>
      <c r="H34" s="453"/>
      <c r="I34" s="457">
        <f>I33+I32</f>
        <v>432270</v>
      </c>
      <c r="J34" s="903"/>
    </row>
    <row r="35" spans="1:16126" ht="17.45" customHeight="1">
      <c r="A35" s="912">
        <v>5</v>
      </c>
      <c r="B35" s="912" t="s">
        <v>1620</v>
      </c>
      <c r="C35" s="913" t="s">
        <v>1369</v>
      </c>
      <c r="D35" s="907" t="s">
        <v>1421</v>
      </c>
      <c r="E35" s="446" t="s">
        <v>1621</v>
      </c>
      <c r="F35" s="907" t="s">
        <v>1372</v>
      </c>
      <c r="G35" s="905">
        <f>1434*0.2</f>
        <v>286.8</v>
      </c>
      <c r="H35" s="905">
        <v>300</v>
      </c>
      <c r="I35" s="907">
        <f>H35*G35</f>
        <v>86040</v>
      </c>
      <c r="J35" s="903">
        <f>ROUND(I40*0.8,0)</f>
        <v>342004</v>
      </c>
    </row>
    <row r="36" spans="1:16126" ht="17.45" customHeight="1">
      <c r="A36" s="912"/>
      <c r="B36" s="912"/>
      <c r="C36" s="913"/>
      <c r="D36" s="919"/>
      <c r="E36" s="446" t="s">
        <v>1622</v>
      </c>
      <c r="F36" s="908"/>
      <c r="G36" s="906"/>
      <c r="H36" s="906"/>
      <c r="I36" s="908"/>
      <c r="J36" s="903"/>
    </row>
    <row r="37" spans="1:16126" ht="17.45" customHeight="1">
      <c r="A37" s="912"/>
      <c r="B37" s="912"/>
      <c r="C37" s="913"/>
      <c r="D37" s="908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903"/>
    </row>
    <row r="38" spans="1:16126" ht="17.45" customHeight="1">
      <c r="A38" s="912"/>
      <c r="B38" s="912"/>
      <c r="C38" s="909" t="s">
        <v>1424</v>
      </c>
      <c r="D38" s="910"/>
      <c r="E38" s="911"/>
      <c r="F38" s="451"/>
      <c r="G38" s="452"/>
      <c r="H38" s="466"/>
      <c r="I38" s="464">
        <f>SUM(I35:I37)</f>
        <v>361368</v>
      </c>
      <c r="J38" s="903"/>
    </row>
    <row r="39" spans="1:16126" s="455" customFormat="1" ht="17.45" customHeight="1">
      <c r="A39" s="912"/>
      <c r="B39" s="912"/>
      <c r="C39" s="909" t="s">
        <v>1603</v>
      </c>
      <c r="D39" s="910"/>
      <c r="E39" s="911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903"/>
    </row>
    <row r="40" spans="1:16126" s="462" customFormat="1" ht="17.45" customHeight="1">
      <c r="A40" s="907"/>
      <c r="B40" s="907"/>
      <c r="C40" s="916" t="s">
        <v>1428</v>
      </c>
      <c r="D40" s="917"/>
      <c r="E40" s="918"/>
      <c r="F40" s="475"/>
      <c r="G40" s="476"/>
      <c r="H40" s="477"/>
      <c r="I40" s="478">
        <f>I39+I38</f>
        <v>427505</v>
      </c>
      <c r="J40" s="903"/>
    </row>
    <row r="41" spans="1:16126" ht="17.45" customHeight="1">
      <c r="A41" s="912">
        <v>6</v>
      </c>
      <c r="B41" s="912" t="s">
        <v>1624</v>
      </c>
      <c r="C41" s="913" t="s">
        <v>1369</v>
      </c>
      <c r="D41" s="912" t="s">
        <v>1421</v>
      </c>
      <c r="E41" s="446" t="s">
        <v>1625</v>
      </c>
      <c r="F41" s="912" t="s">
        <v>1372</v>
      </c>
      <c r="G41" s="914">
        <f>1861*0.9</f>
        <v>1674.9</v>
      </c>
      <c r="H41" s="914">
        <v>300</v>
      </c>
      <c r="I41" s="912">
        <f>H41*G41</f>
        <v>502470</v>
      </c>
      <c r="J41" s="903">
        <f>ROUND(I46*0.8,0)</f>
        <v>505478</v>
      </c>
    </row>
    <row r="42" spans="1:16126" ht="17.45" customHeight="1">
      <c r="A42" s="912"/>
      <c r="B42" s="912"/>
      <c r="C42" s="913"/>
      <c r="D42" s="912"/>
      <c r="E42" s="446" t="s">
        <v>1626</v>
      </c>
      <c r="F42" s="912"/>
      <c r="G42" s="914"/>
      <c r="H42" s="914"/>
      <c r="I42" s="912"/>
      <c r="J42" s="903"/>
    </row>
    <row r="43" spans="1:16126" ht="17.45" customHeight="1">
      <c r="A43" s="912"/>
      <c r="B43" s="912"/>
      <c r="C43" s="913"/>
      <c r="D43" s="912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903"/>
    </row>
    <row r="44" spans="1:16126" ht="17.45" customHeight="1">
      <c r="A44" s="912"/>
      <c r="B44" s="912"/>
      <c r="C44" s="915" t="s">
        <v>1424</v>
      </c>
      <c r="D44" s="915"/>
      <c r="E44" s="915"/>
      <c r="F44" s="451"/>
      <c r="G44" s="452"/>
      <c r="H44" s="466"/>
      <c r="I44" s="464">
        <f>SUM(I41:I43)</f>
        <v>547134</v>
      </c>
      <c r="J44" s="903"/>
    </row>
    <row r="45" spans="1:16126" s="455" customFormat="1" ht="17.45" customHeight="1">
      <c r="A45" s="912"/>
      <c r="B45" s="912"/>
      <c r="C45" s="915" t="s">
        <v>1603</v>
      </c>
      <c r="D45" s="915"/>
      <c r="E45" s="915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903"/>
    </row>
    <row r="46" spans="1:16126" s="462" customFormat="1" ht="17.45" customHeight="1">
      <c r="A46" s="912"/>
      <c r="B46" s="912"/>
      <c r="C46" s="915" t="s">
        <v>1428</v>
      </c>
      <c r="D46" s="915"/>
      <c r="E46" s="915"/>
      <c r="F46" s="451"/>
      <c r="G46" s="452"/>
      <c r="H46" s="453"/>
      <c r="I46" s="457">
        <f>I45+I44</f>
        <v>631847</v>
      </c>
      <c r="J46" s="903"/>
    </row>
    <row r="47" spans="1:16126" s="469" customFormat="1" ht="17.45" customHeight="1">
      <c r="A47" s="479"/>
      <c r="B47" s="479"/>
      <c r="C47" s="903" t="s">
        <v>1540</v>
      </c>
      <c r="D47" s="903"/>
      <c r="E47" s="903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3:A12"/>
    <mergeCell ref="B3:B12"/>
    <mergeCell ref="C3:C9"/>
    <mergeCell ref="D3:D4"/>
    <mergeCell ref="D5:D6"/>
    <mergeCell ref="D7:D9"/>
    <mergeCell ref="C10:E10"/>
    <mergeCell ref="C11:E11"/>
    <mergeCell ref="C12:E12"/>
    <mergeCell ref="A13:A24"/>
    <mergeCell ref="B13:B24"/>
    <mergeCell ref="C13:C21"/>
    <mergeCell ref="D13:D21"/>
    <mergeCell ref="F13:F14"/>
    <mergeCell ref="A25:A28"/>
    <mergeCell ref="B25:B28"/>
    <mergeCell ref="C26:E26"/>
    <mergeCell ref="C27:E27"/>
    <mergeCell ref="C28:E28"/>
    <mergeCell ref="H13:H14"/>
    <mergeCell ref="I13:I14"/>
    <mergeCell ref="C22:E22"/>
    <mergeCell ref="C23:E23"/>
    <mergeCell ref="C24:E24"/>
    <mergeCell ref="G13:G14"/>
    <mergeCell ref="A35:A40"/>
    <mergeCell ref="B35:B40"/>
    <mergeCell ref="C35:C37"/>
    <mergeCell ref="D35:D37"/>
    <mergeCell ref="F35:F36"/>
    <mergeCell ref="C47:E47"/>
    <mergeCell ref="A41:A46"/>
    <mergeCell ref="B41:B46"/>
    <mergeCell ref="C41:C43"/>
    <mergeCell ref="D41:D43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34" t="s">
        <v>1628</v>
      </c>
      <c r="B1" s="834"/>
      <c r="C1" s="834"/>
      <c r="D1" s="834"/>
      <c r="E1" s="834"/>
      <c r="F1" s="834"/>
      <c r="G1" s="834"/>
      <c r="H1" s="834"/>
      <c r="I1" s="834"/>
      <c r="J1" s="835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47">
        <v>1</v>
      </c>
      <c r="B3" s="847" t="s">
        <v>1629</v>
      </c>
      <c r="C3" s="847" t="s">
        <v>1630</v>
      </c>
      <c r="D3" s="847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925">
        <f>ROUND(I14*0.8,0)</f>
        <v>153887</v>
      </c>
    </row>
    <row r="4" spans="1:11" ht="17.100000000000001" customHeight="1">
      <c r="A4" s="847"/>
      <c r="B4" s="847"/>
      <c r="C4" s="847"/>
      <c r="D4" s="847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33"/>
      <c r="K4" s="376"/>
    </row>
    <row r="5" spans="1:11" ht="17.100000000000001" customHeight="1">
      <c r="A5" s="847"/>
      <c r="B5" s="847"/>
      <c r="C5" s="847"/>
      <c r="D5" s="847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33"/>
    </row>
    <row r="6" spans="1:11" s="395" customFormat="1" ht="17.100000000000001" customHeight="1">
      <c r="A6" s="844"/>
      <c r="B6" s="844"/>
      <c r="C6" s="844" t="s">
        <v>1635</v>
      </c>
      <c r="D6" s="844"/>
      <c r="E6" s="844"/>
      <c r="F6" s="374"/>
      <c r="G6" s="374"/>
      <c r="H6" s="375"/>
      <c r="I6" s="567">
        <f>SUM(I3:I5)</f>
        <v>165053.23000000001</v>
      </c>
      <c r="J6" s="833"/>
    </row>
    <row r="7" spans="1:11" s="376" customFormat="1" ht="17.100000000000001" customHeight="1">
      <c r="A7" s="847"/>
      <c r="B7" s="847"/>
      <c r="C7" s="847" t="s">
        <v>1636</v>
      </c>
      <c r="D7" s="847"/>
      <c r="E7" s="847"/>
      <c r="F7" s="397"/>
      <c r="G7" s="381"/>
      <c r="H7" s="930">
        <v>0.1</v>
      </c>
      <c r="I7" s="927">
        <f>H7*I6</f>
        <v>16505.323</v>
      </c>
      <c r="J7" s="833"/>
    </row>
    <row r="8" spans="1:11" s="376" customFormat="1" ht="17.100000000000001" customHeight="1">
      <c r="A8" s="847"/>
      <c r="B8" s="847"/>
      <c r="C8" s="847" t="s">
        <v>1408</v>
      </c>
      <c r="D8" s="847"/>
      <c r="E8" s="847"/>
      <c r="F8" s="397"/>
      <c r="G8" s="381"/>
      <c r="H8" s="926"/>
      <c r="I8" s="927" t="e">
        <f>#REF!</f>
        <v>#REF!</v>
      </c>
      <c r="J8" s="833"/>
    </row>
    <row r="9" spans="1:11" s="376" customFormat="1" ht="17.100000000000001" customHeight="1">
      <c r="A9" s="847"/>
      <c r="B9" s="847"/>
      <c r="C9" s="847" t="s">
        <v>1409</v>
      </c>
      <c r="D9" s="847"/>
      <c r="E9" s="847"/>
      <c r="F9" s="397"/>
      <c r="G9" s="381"/>
      <c r="H9" s="926"/>
      <c r="I9" s="927">
        <f>H9</f>
        <v>0</v>
      </c>
      <c r="J9" s="833"/>
    </row>
    <row r="10" spans="1:11" s="376" customFormat="1" ht="17.100000000000001" customHeight="1">
      <c r="A10" s="847"/>
      <c r="B10" s="847"/>
      <c r="C10" s="847" t="s">
        <v>1410</v>
      </c>
      <c r="D10" s="847"/>
      <c r="E10" s="847"/>
      <c r="F10" s="397"/>
      <c r="G10" s="381"/>
      <c r="H10" s="926"/>
      <c r="I10" s="927">
        <f>H10</f>
        <v>0</v>
      </c>
      <c r="J10" s="833"/>
    </row>
    <row r="11" spans="1:11" s="376" customFormat="1" ht="17.100000000000001" customHeight="1">
      <c r="A11" s="847"/>
      <c r="B11" s="847"/>
      <c r="C11" s="847" t="s">
        <v>1637</v>
      </c>
      <c r="D11" s="847"/>
      <c r="E11" s="847"/>
      <c r="F11" s="397" t="s">
        <v>1638</v>
      </c>
      <c r="G11" s="847">
        <v>6</v>
      </c>
      <c r="H11" s="928">
        <v>1800</v>
      </c>
      <c r="I11" s="929">
        <f>G11*H11</f>
        <v>10800</v>
      </c>
      <c r="J11" s="833"/>
    </row>
    <row r="12" spans="1:11" s="376" customFormat="1" ht="17.100000000000001" customHeight="1">
      <c r="A12" s="847"/>
      <c r="B12" s="847"/>
      <c r="C12" s="847" t="s">
        <v>1637</v>
      </c>
      <c r="D12" s="847"/>
      <c r="E12" s="847"/>
      <c r="F12" s="397" t="s">
        <v>1638</v>
      </c>
      <c r="G12" s="847"/>
      <c r="H12" s="928"/>
      <c r="I12" s="929"/>
      <c r="J12" s="833"/>
    </row>
    <row r="13" spans="1:11" s="376" customFormat="1" ht="17.100000000000001" customHeight="1">
      <c r="A13" s="847"/>
      <c r="B13" s="847"/>
      <c r="C13" s="844" t="s">
        <v>1639</v>
      </c>
      <c r="D13" s="844"/>
      <c r="E13" s="844"/>
      <c r="F13" s="397"/>
      <c r="G13" s="397"/>
      <c r="H13" s="381"/>
      <c r="I13" s="561">
        <f>I7+I11</f>
        <v>27305.323</v>
      </c>
      <c r="J13" s="833"/>
    </row>
    <row r="14" spans="1:11" s="482" customFormat="1" ht="17.100000000000001" customHeight="1">
      <c r="A14" s="844"/>
      <c r="B14" s="844"/>
      <c r="C14" s="844" t="s">
        <v>24</v>
      </c>
      <c r="D14" s="844"/>
      <c r="E14" s="844"/>
      <c r="F14" s="374"/>
      <c r="G14" s="374"/>
      <c r="H14" s="375"/>
      <c r="I14" s="567">
        <f>I6+I13</f>
        <v>192358.55300000001</v>
      </c>
      <c r="J14" s="833"/>
    </row>
    <row r="15" spans="1:11" ht="17.100000000000001" customHeight="1">
      <c r="A15" s="847">
        <v>2</v>
      </c>
      <c r="B15" s="847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32">
        <f>ROUND(I23*0.8,0)</f>
        <v>259801</v>
      </c>
    </row>
    <row r="16" spans="1:11" ht="17.100000000000001" customHeight="1">
      <c r="A16" s="847"/>
      <c r="B16" s="847"/>
      <c r="C16" s="844" t="s">
        <v>1635</v>
      </c>
      <c r="D16" s="844"/>
      <c r="E16" s="844"/>
      <c r="F16" s="397"/>
      <c r="G16" s="397"/>
      <c r="H16" s="483"/>
      <c r="I16" s="567">
        <f>I15</f>
        <v>281170</v>
      </c>
      <c r="J16" s="832"/>
    </row>
    <row r="17" spans="1:10" ht="17.100000000000001" customHeight="1">
      <c r="A17" s="847"/>
      <c r="B17" s="847"/>
      <c r="C17" s="847" t="s">
        <v>1636</v>
      </c>
      <c r="D17" s="847"/>
      <c r="E17" s="847"/>
      <c r="F17" s="397"/>
      <c r="G17" s="397"/>
      <c r="H17" s="930">
        <v>0.1</v>
      </c>
      <c r="I17" s="927">
        <f>H17*I16</f>
        <v>28117</v>
      </c>
      <c r="J17" s="832"/>
    </row>
    <row r="18" spans="1:10" ht="17.100000000000001" customHeight="1">
      <c r="A18" s="847"/>
      <c r="B18" s="847"/>
      <c r="C18" s="847" t="s">
        <v>1408</v>
      </c>
      <c r="D18" s="847"/>
      <c r="E18" s="847"/>
      <c r="F18" s="397"/>
      <c r="G18" s="397"/>
      <c r="H18" s="926"/>
      <c r="I18" s="927"/>
      <c r="J18" s="832"/>
    </row>
    <row r="19" spans="1:10" ht="17.100000000000001" customHeight="1">
      <c r="A19" s="847"/>
      <c r="B19" s="847"/>
      <c r="C19" s="847" t="s">
        <v>1409</v>
      </c>
      <c r="D19" s="847"/>
      <c r="E19" s="847"/>
      <c r="F19" s="397"/>
      <c r="G19" s="397"/>
      <c r="H19" s="926"/>
      <c r="I19" s="927"/>
      <c r="J19" s="832"/>
    </row>
    <row r="20" spans="1:10" ht="17.100000000000001" customHeight="1">
      <c r="A20" s="847"/>
      <c r="B20" s="847"/>
      <c r="C20" s="847" t="s">
        <v>1410</v>
      </c>
      <c r="D20" s="847"/>
      <c r="E20" s="847"/>
      <c r="F20" s="397"/>
      <c r="G20" s="397"/>
      <c r="H20" s="926"/>
      <c r="I20" s="927"/>
      <c r="J20" s="832"/>
    </row>
    <row r="21" spans="1:10" ht="17.100000000000001" customHeight="1">
      <c r="A21" s="847"/>
      <c r="B21" s="847"/>
      <c r="C21" s="844" t="s">
        <v>1639</v>
      </c>
      <c r="D21" s="844"/>
      <c r="E21" s="844"/>
      <c r="F21" s="397"/>
      <c r="G21" s="397"/>
      <c r="H21" s="381"/>
      <c r="I21" s="567">
        <f>SUM(I17:I20)</f>
        <v>28117</v>
      </c>
      <c r="J21" s="832"/>
    </row>
    <row r="22" spans="1:10" ht="17.100000000000001" customHeight="1">
      <c r="A22" s="847"/>
      <c r="B22" s="847"/>
      <c r="C22" s="844" t="s">
        <v>1641</v>
      </c>
      <c r="D22" s="844"/>
      <c r="E22" s="844"/>
      <c r="F22" s="397"/>
      <c r="G22" s="397"/>
      <c r="H22" s="484">
        <v>0.05</v>
      </c>
      <c r="I22" s="567">
        <f>(I16+I21)*5%</f>
        <v>15464.35</v>
      </c>
      <c r="J22" s="832"/>
    </row>
    <row r="23" spans="1:10" s="395" customFormat="1" ht="17.100000000000001" customHeight="1">
      <c r="A23" s="844"/>
      <c r="B23" s="844"/>
      <c r="C23" s="844" t="s">
        <v>24</v>
      </c>
      <c r="D23" s="844"/>
      <c r="E23" s="844"/>
      <c r="F23" s="374"/>
      <c r="G23" s="374"/>
      <c r="H23" s="375"/>
      <c r="I23" s="567">
        <f>SUM(I16,I21,I22)</f>
        <v>324751.34999999998</v>
      </c>
      <c r="J23" s="832"/>
    </row>
    <row r="24" spans="1:10" ht="17.100000000000001" customHeight="1">
      <c r="A24" s="847">
        <v>3</v>
      </c>
      <c r="B24" s="847" t="s">
        <v>1642</v>
      </c>
      <c r="C24" s="847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925">
        <f>ROUND(I77*0.8,0)</f>
        <v>1100090</v>
      </c>
    </row>
    <row r="25" spans="1:10" ht="17.100000000000001" customHeight="1">
      <c r="A25" s="847"/>
      <c r="B25" s="847"/>
      <c r="C25" s="847"/>
      <c r="D25" s="847" t="s">
        <v>1646</v>
      </c>
      <c r="E25" s="847" t="s">
        <v>1647</v>
      </c>
      <c r="F25" s="847" t="s">
        <v>1479</v>
      </c>
      <c r="G25" s="397">
        <v>14</v>
      </c>
      <c r="H25" s="381">
        <v>220</v>
      </c>
      <c r="I25" s="561">
        <f t="shared" si="0"/>
        <v>3080</v>
      </c>
      <c r="J25" s="797"/>
    </row>
    <row r="26" spans="1:10" ht="17.100000000000001" customHeight="1">
      <c r="A26" s="847"/>
      <c r="B26" s="847"/>
      <c r="C26" s="847"/>
      <c r="D26" s="847"/>
      <c r="E26" s="847"/>
      <c r="F26" s="847"/>
      <c r="G26" s="397">
        <v>15</v>
      </c>
      <c r="H26" s="381">
        <v>70</v>
      </c>
      <c r="I26" s="561">
        <f t="shared" si="0"/>
        <v>1050</v>
      </c>
      <c r="J26" s="797"/>
    </row>
    <row r="27" spans="1:10" ht="17.100000000000001" customHeight="1">
      <c r="A27" s="847"/>
      <c r="B27" s="847"/>
      <c r="C27" s="847"/>
      <c r="D27" s="847"/>
      <c r="E27" s="847"/>
      <c r="F27" s="847"/>
      <c r="G27" s="397">
        <v>62.5</v>
      </c>
      <c r="H27" s="381">
        <v>45</v>
      </c>
      <c r="I27" s="561">
        <f t="shared" si="0"/>
        <v>2812.5</v>
      </c>
      <c r="J27" s="797"/>
    </row>
    <row r="28" spans="1:10" ht="17.100000000000001" customHeight="1">
      <c r="A28" s="847"/>
      <c r="B28" s="847"/>
      <c r="C28" s="847"/>
      <c r="D28" s="847"/>
      <c r="E28" s="847"/>
      <c r="F28" s="847"/>
      <c r="G28" s="397">
        <v>0</v>
      </c>
      <c r="H28" s="381">
        <v>150</v>
      </c>
      <c r="I28" s="561">
        <f t="shared" si="0"/>
        <v>0</v>
      </c>
      <c r="J28" s="797"/>
    </row>
    <row r="29" spans="1:10" ht="17.100000000000001" customHeight="1">
      <c r="A29" s="847"/>
      <c r="B29" s="847"/>
      <c r="C29" s="847"/>
      <c r="D29" s="847"/>
      <c r="E29" s="847" t="s">
        <v>1648</v>
      </c>
      <c r="F29" s="847"/>
      <c r="G29" s="397">
        <v>200</v>
      </c>
      <c r="H29" s="381">
        <v>225</v>
      </c>
      <c r="I29" s="561">
        <f t="shared" si="0"/>
        <v>45000</v>
      </c>
      <c r="J29" s="797"/>
    </row>
    <row r="30" spans="1:10" ht="17.100000000000001" customHeight="1">
      <c r="A30" s="847"/>
      <c r="B30" s="847"/>
      <c r="C30" s="847"/>
      <c r="D30" s="847"/>
      <c r="E30" s="847"/>
      <c r="F30" s="847"/>
      <c r="G30" s="397">
        <v>275</v>
      </c>
      <c r="H30" s="381">
        <v>45</v>
      </c>
      <c r="I30" s="561">
        <f t="shared" si="0"/>
        <v>12375</v>
      </c>
      <c r="J30" s="797"/>
    </row>
    <row r="31" spans="1:10" ht="17.100000000000001" customHeight="1">
      <c r="A31" s="847"/>
      <c r="B31" s="847"/>
      <c r="C31" s="847"/>
      <c r="D31" s="847"/>
      <c r="E31" s="847"/>
      <c r="F31" s="847"/>
      <c r="G31" s="397">
        <v>200</v>
      </c>
      <c r="H31" s="381">
        <v>200</v>
      </c>
      <c r="I31" s="561">
        <f t="shared" si="0"/>
        <v>40000</v>
      </c>
      <c r="J31" s="797"/>
    </row>
    <row r="32" spans="1:10" ht="17.100000000000001" customHeight="1">
      <c r="A32" s="847"/>
      <c r="B32" s="847"/>
      <c r="C32" s="847"/>
      <c r="D32" s="847"/>
      <c r="E32" s="847"/>
      <c r="F32" s="847"/>
      <c r="G32" s="397">
        <v>200</v>
      </c>
      <c r="H32" s="381">
        <v>190</v>
      </c>
      <c r="I32" s="561">
        <f t="shared" si="0"/>
        <v>38000</v>
      </c>
      <c r="J32" s="797"/>
    </row>
    <row r="33" spans="1:10" ht="17.100000000000001" customHeight="1">
      <c r="A33" s="847"/>
      <c r="B33" s="847"/>
      <c r="C33" s="847"/>
      <c r="D33" s="847" t="s">
        <v>1649</v>
      </c>
      <c r="E33" s="847" t="s">
        <v>1650</v>
      </c>
      <c r="F33" s="847" t="s">
        <v>1479</v>
      </c>
      <c r="G33" s="397">
        <v>0</v>
      </c>
      <c r="H33" s="381">
        <v>200</v>
      </c>
      <c r="I33" s="561">
        <f t="shared" si="0"/>
        <v>0</v>
      </c>
      <c r="J33" s="797"/>
    </row>
    <row r="34" spans="1:10" ht="17.100000000000001" customHeight="1">
      <c r="A34" s="847"/>
      <c r="B34" s="847"/>
      <c r="C34" s="847"/>
      <c r="D34" s="847"/>
      <c r="E34" s="847"/>
      <c r="F34" s="847"/>
      <c r="G34" s="397">
        <v>110</v>
      </c>
      <c r="H34" s="381">
        <v>200</v>
      </c>
      <c r="I34" s="561">
        <f t="shared" si="0"/>
        <v>22000</v>
      </c>
      <c r="J34" s="797"/>
    </row>
    <row r="35" spans="1:10" ht="17.100000000000001" customHeight="1">
      <c r="A35" s="847"/>
      <c r="B35" s="847"/>
      <c r="C35" s="847"/>
      <c r="D35" s="847"/>
      <c r="E35" s="847"/>
      <c r="F35" s="847"/>
      <c r="G35" s="397">
        <v>0</v>
      </c>
      <c r="H35" s="381">
        <v>45</v>
      </c>
      <c r="I35" s="561">
        <f t="shared" si="0"/>
        <v>0</v>
      </c>
      <c r="J35" s="797"/>
    </row>
    <row r="36" spans="1:10" ht="17.100000000000001" customHeight="1">
      <c r="A36" s="847"/>
      <c r="B36" s="847"/>
      <c r="C36" s="847"/>
      <c r="D36" s="847"/>
      <c r="E36" s="847"/>
      <c r="F36" s="847"/>
      <c r="G36" s="397">
        <v>0</v>
      </c>
      <c r="H36" s="381">
        <v>150</v>
      </c>
      <c r="I36" s="561">
        <f t="shared" si="0"/>
        <v>0</v>
      </c>
      <c r="J36" s="797"/>
    </row>
    <row r="37" spans="1:10" ht="17.100000000000001" customHeight="1">
      <c r="A37" s="847"/>
      <c r="B37" s="847"/>
      <c r="C37" s="847"/>
      <c r="D37" s="847"/>
      <c r="E37" s="847" t="s">
        <v>1651</v>
      </c>
      <c r="F37" s="847" t="s">
        <v>1479</v>
      </c>
      <c r="G37" s="397">
        <v>0</v>
      </c>
      <c r="H37" s="381">
        <v>230</v>
      </c>
      <c r="I37" s="561">
        <f t="shared" si="0"/>
        <v>0</v>
      </c>
      <c r="J37" s="797"/>
    </row>
    <row r="38" spans="1:10" ht="17.100000000000001" customHeight="1">
      <c r="A38" s="847"/>
      <c r="B38" s="847"/>
      <c r="C38" s="847"/>
      <c r="D38" s="847"/>
      <c r="E38" s="847"/>
      <c r="F38" s="847"/>
      <c r="G38" s="397">
        <v>340</v>
      </c>
      <c r="H38" s="381">
        <v>250</v>
      </c>
      <c r="I38" s="561">
        <f t="shared" si="0"/>
        <v>85000</v>
      </c>
      <c r="J38" s="797"/>
    </row>
    <row r="39" spans="1:10" ht="17.100000000000001" customHeight="1">
      <c r="A39" s="847"/>
      <c r="B39" s="847"/>
      <c r="C39" s="847"/>
      <c r="D39" s="847"/>
      <c r="E39" s="847"/>
      <c r="F39" s="847"/>
      <c r="G39" s="397">
        <v>75</v>
      </c>
      <c r="H39" s="381">
        <v>45</v>
      </c>
      <c r="I39" s="561">
        <f t="shared" si="0"/>
        <v>3375</v>
      </c>
      <c r="J39" s="797"/>
    </row>
    <row r="40" spans="1:10" ht="17.100000000000001" customHeight="1">
      <c r="A40" s="847"/>
      <c r="B40" s="847"/>
      <c r="C40" s="847"/>
      <c r="D40" s="847"/>
      <c r="E40" s="847"/>
      <c r="F40" s="847"/>
      <c r="G40" s="397">
        <v>0</v>
      </c>
      <c r="H40" s="381">
        <v>180</v>
      </c>
      <c r="I40" s="561">
        <f t="shared" si="0"/>
        <v>0</v>
      </c>
      <c r="J40" s="797"/>
    </row>
    <row r="41" spans="1:10" ht="17.100000000000001" customHeight="1">
      <c r="A41" s="847"/>
      <c r="B41" s="847"/>
      <c r="C41" s="847"/>
      <c r="D41" s="847"/>
      <c r="E41" s="847"/>
      <c r="F41" s="847"/>
      <c r="G41" s="397">
        <v>0</v>
      </c>
      <c r="H41" s="381">
        <v>200</v>
      </c>
      <c r="I41" s="561">
        <f t="shared" si="0"/>
        <v>0</v>
      </c>
      <c r="J41" s="797"/>
    </row>
    <row r="42" spans="1:10" ht="17.100000000000001" customHeight="1">
      <c r="A42" s="847"/>
      <c r="B42" s="847"/>
      <c r="C42" s="847"/>
      <c r="D42" s="847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797"/>
    </row>
    <row r="43" spans="1:10" ht="17.100000000000001" customHeight="1">
      <c r="A43" s="847"/>
      <c r="B43" s="847"/>
      <c r="C43" s="847"/>
      <c r="D43" s="847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797"/>
    </row>
    <row r="44" spans="1:10" s="376" customFormat="1" ht="17.100000000000001" customHeight="1">
      <c r="A44" s="847"/>
      <c r="B44" s="847"/>
      <c r="C44" s="847"/>
      <c r="D44" s="847" t="s">
        <v>1655</v>
      </c>
      <c r="E44" s="847" t="s">
        <v>1656</v>
      </c>
      <c r="F44" s="847" t="s">
        <v>1479</v>
      </c>
      <c r="G44" s="397">
        <v>120</v>
      </c>
      <c r="H44" s="381">
        <v>250</v>
      </c>
      <c r="I44" s="561">
        <f t="shared" si="0"/>
        <v>30000</v>
      </c>
      <c r="J44" s="797"/>
    </row>
    <row r="45" spans="1:10" ht="17.100000000000001" customHeight="1">
      <c r="A45" s="847"/>
      <c r="B45" s="847"/>
      <c r="C45" s="847"/>
      <c r="D45" s="847"/>
      <c r="E45" s="847"/>
      <c r="F45" s="847"/>
      <c r="G45" s="379">
        <v>200</v>
      </c>
      <c r="H45" s="381">
        <v>60</v>
      </c>
      <c r="I45" s="561">
        <f t="shared" si="0"/>
        <v>12000</v>
      </c>
      <c r="J45" s="797"/>
    </row>
    <row r="46" spans="1:10" ht="17.100000000000001" customHeight="1">
      <c r="A46" s="847"/>
      <c r="B46" s="847"/>
      <c r="C46" s="847"/>
      <c r="D46" s="847"/>
      <c r="E46" s="847"/>
      <c r="F46" s="847"/>
      <c r="G46" s="379">
        <v>238</v>
      </c>
      <c r="H46" s="381">
        <v>200</v>
      </c>
      <c r="I46" s="561">
        <f t="shared" si="0"/>
        <v>47600</v>
      </c>
      <c r="J46" s="797"/>
    </row>
    <row r="47" spans="1:10" ht="17.100000000000001" customHeight="1">
      <c r="A47" s="847"/>
      <c r="B47" s="847"/>
      <c r="C47" s="847"/>
      <c r="D47" s="847"/>
      <c r="E47" s="847"/>
      <c r="F47" s="847"/>
      <c r="G47" s="379">
        <v>6</v>
      </c>
      <c r="H47" s="397">
        <v>1600</v>
      </c>
      <c r="I47" s="561">
        <f t="shared" si="0"/>
        <v>9600</v>
      </c>
      <c r="J47" s="797"/>
    </row>
    <row r="48" spans="1:10" ht="17.100000000000001" customHeight="1">
      <c r="A48" s="847"/>
      <c r="B48" s="847"/>
      <c r="C48" s="847"/>
      <c r="D48" s="847"/>
      <c r="E48" s="847"/>
      <c r="F48" s="847"/>
      <c r="G48" s="379">
        <v>114</v>
      </c>
      <c r="H48" s="397">
        <v>280</v>
      </c>
      <c r="I48" s="561">
        <f t="shared" si="0"/>
        <v>31920</v>
      </c>
      <c r="J48" s="797"/>
    </row>
    <row r="49" spans="1:10" ht="17.100000000000001" customHeight="1">
      <c r="A49" s="847"/>
      <c r="B49" s="847"/>
      <c r="C49" s="847"/>
      <c r="D49" s="847"/>
      <c r="E49" s="847"/>
      <c r="F49" s="847"/>
      <c r="G49" s="379">
        <v>442</v>
      </c>
      <c r="H49" s="397">
        <v>56.5</v>
      </c>
      <c r="I49" s="561">
        <f t="shared" si="0"/>
        <v>24973</v>
      </c>
      <c r="J49" s="797"/>
    </row>
    <row r="50" spans="1:10" ht="17.100000000000001" customHeight="1">
      <c r="A50" s="847"/>
      <c r="B50" s="847"/>
      <c r="C50" s="847"/>
      <c r="D50" s="847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797"/>
    </row>
    <row r="51" spans="1:10" ht="17.100000000000001" customHeight="1">
      <c r="A51" s="847"/>
      <c r="B51" s="847"/>
      <c r="C51" s="847"/>
      <c r="D51" s="847"/>
      <c r="E51" s="847" t="s">
        <v>1658</v>
      </c>
      <c r="F51" s="847" t="s">
        <v>1479</v>
      </c>
      <c r="G51" s="381">
        <v>50</v>
      </c>
      <c r="H51" s="381">
        <v>50</v>
      </c>
      <c r="I51" s="561">
        <f t="shared" si="0"/>
        <v>2500</v>
      </c>
      <c r="J51" s="797"/>
    </row>
    <row r="52" spans="1:10" ht="17.100000000000001" customHeight="1">
      <c r="A52" s="847"/>
      <c r="B52" s="847"/>
      <c r="C52" s="847"/>
      <c r="D52" s="847"/>
      <c r="E52" s="847"/>
      <c r="F52" s="847"/>
      <c r="G52" s="381">
        <v>83.5</v>
      </c>
      <c r="H52" s="381">
        <v>200</v>
      </c>
      <c r="I52" s="561">
        <f t="shared" si="0"/>
        <v>16700</v>
      </c>
      <c r="J52" s="797"/>
    </row>
    <row r="53" spans="1:10" ht="17.100000000000001" customHeight="1">
      <c r="A53" s="847"/>
      <c r="B53" s="847"/>
      <c r="C53" s="847"/>
      <c r="D53" s="847"/>
      <c r="E53" s="847"/>
      <c r="F53" s="847"/>
      <c r="G53" s="381">
        <v>10</v>
      </c>
      <c r="H53" s="381">
        <v>150</v>
      </c>
      <c r="I53" s="561">
        <f t="shared" si="0"/>
        <v>1500</v>
      </c>
      <c r="J53" s="797"/>
    </row>
    <row r="54" spans="1:10" ht="17.100000000000001" customHeight="1">
      <c r="A54" s="847"/>
      <c r="B54" s="847"/>
      <c r="C54" s="847"/>
      <c r="D54" s="847"/>
      <c r="E54" s="847"/>
      <c r="F54" s="847"/>
      <c r="G54" s="381">
        <v>100</v>
      </c>
      <c r="H54" s="381">
        <v>45</v>
      </c>
      <c r="I54" s="561">
        <f t="shared" si="0"/>
        <v>4500</v>
      </c>
      <c r="J54" s="797"/>
    </row>
    <row r="55" spans="1:10" ht="17.100000000000001" customHeight="1">
      <c r="A55" s="847"/>
      <c r="B55" s="847"/>
      <c r="C55" s="847"/>
      <c r="D55" s="847"/>
      <c r="E55" s="847"/>
      <c r="F55" s="847"/>
      <c r="G55" s="381">
        <v>20</v>
      </c>
      <c r="H55" s="381">
        <v>200</v>
      </c>
      <c r="I55" s="561">
        <f t="shared" si="0"/>
        <v>4000</v>
      </c>
      <c r="J55" s="797"/>
    </row>
    <row r="56" spans="1:10" ht="17.100000000000001" customHeight="1">
      <c r="A56" s="847"/>
      <c r="B56" s="847"/>
      <c r="C56" s="847"/>
      <c r="D56" s="847"/>
      <c r="E56" s="847"/>
      <c r="F56" s="847"/>
      <c r="G56" s="381">
        <v>82</v>
      </c>
      <c r="H56" s="379">
        <v>200</v>
      </c>
      <c r="I56" s="561">
        <f t="shared" si="0"/>
        <v>16400</v>
      </c>
      <c r="J56" s="797"/>
    </row>
    <row r="57" spans="1:10" ht="17.100000000000001" customHeight="1">
      <c r="A57" s="847"/>
      <c r="B57" s="847"/>
      <c r="C57" s="847"/>
      <c r="D57" s="847"/>
      <c r="E57" s="847"/>
      <c r="F57" s="847"/>
      <c r="G57" s="381">
        <v>150</v>
      </c>
      <c r="H57" s="381">
        <v>45</v>
      </c>
      <c r="I57" s="561">
        <f t="shared" si="0"/>
        <v>6750</v>
      </c>
      <c r="J57" s="797"/>
    </row>
    <row r="58" spans="1:10" ht="17.100000000000001" customHeight="1">
      <c r="A58" s="847"/>
      <c r="B58" s="847"/>
      <c r="C58" s="847"/>
      <c r="D58" s="847"/>
      <c r="E58" s="847"/>
      <c r="F58" s="847"/>
      <c r="G58" s="381">
        <v>65</v>
      </c>
      <c r="H58" s="381">
        <v>260</v>
      </c>
      <c r="I58" s="561">
        <f t="shared" si="0"/>
        <v>16900</v>
      </c>
      <c r="J58" s="797"/>
    </row>
    <row r="59" spans="1:10" ht="17.100000000000001" customHeight="1">
      <c r="A59" s="847"/>
      <c r="B59" s="847"/>
      <c r="C59" s="847"/>
      <c r="D59" s="847"/>
      <c r="E59" s="847"/>
      <c r="F59" s="847"/>
      <c r="G59" s="381">
        <v>50</v>
      </c>
      <c r="H59" s="381">
        <v>280</v>
      </c>
      <c r="I59" s="561">
        <f t="shared" si="0"/>
        <v>14000</v>
      </c>
      <c r="J59" s="797"/>
    </row>
    <row r="60" spans="1:10" ht="17.100000000000001" customHeight="1">
      <c r="A60" s="847"/>
      <c r="B60" s="847"/>
      <c r="C60" s="847"/>
      <c r="D60" s="847"/>
      <c r="E60" s="847" t="s">
        <v>1659</v>
      </c>
      <c r="F60" s="847" t="s">
        <v>1479</v>
      </c>
      <c r="G60" s="381">
        <v>25</v>
      </c>
      <c r="H60" s="381">
        <v>200</v>
      </c>
      <c r="I60" s="561">
        <f t="shared" si="0"/>
        <v>5000</v>
      </c>
      <c r="J60" s="797"/>
    </row>
    <row r="61" spans="1:10" ht="17.100000000000001" customHeight="1">
      <c r="A61" s="847"/>
      <c r="B61" s="847"/>
      <c r="C61" s="847"/>
      <c r="D61" s="847"/>
      <c r="E61" s="847"/>
      <c r="F61" s="847"/>
      <c r="G61" s="381">
        <v>0</v>
      </c>
      <c r="H61" s="381">
        <v>200</v>
      </c>
      <c r="I61" s="561">
        <f t="shared" si="0"/>
        <v>0</v>
      </c>
      <c r="J61" s="797"/>
    </row>
    <row r="62" spans="1:10" ht="17.100000000000001" customHeight="1">
      <c r="A62" s="847"/>
      <c r="B62" s="847"/>
      <c r="C62" s="847"/>
      <c r="D62" s="847"/>
      <c r="E62" s="847"/>
      <c r="F62" s="847"/>
      <c r="G62" s="381">
        <v>0</v>
      </c>
      <c r="H62" s="381">
        <v>220</v>
      </c>
      <c r="I62" s="561">
        <f t="shared" si="0"/>
        <v>0</v>
      </c>
      <c r="J62" s="797"/>
    </row>
    <row r="63" spans="1:10" ht="17.100000000000001" customHeight="1">
      <c r="A63" s="847"/>
      <c r="B63" s="847"/>
      <c r="C63" s="847"/>
      <c r="D63" s="847"/>
      <c r="E63" s="847"/>
      <c r="F63" s="847"/>
      <c r="G63" s="381">
        <v>0</v>
      </c>
      <c r="H63" s="381">
        <v>45</v>
      </c>
      <c r="I63" s="561">
        <f t="shared" si="0"/>
        <v>0</v>
      </c>
      <c r="J63" s="797"/>
    </row>
    <row r="64" spans="1:10" ht="17.100000000000001" customHeight="1">
      <c r="A64" s="847"/>
      <c r="B64" s="847"/>
      <c r="C64" s="847"/>
      <c r="D64" s="847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797"/>
    </row>
    <row r="65" spans="1:10" ht="17.100000000000001" customHeight="1">
      <c r="A65" s="847"/>
      <c r="B65" s="847"/>
      <c r="C65" s="847"/>
      <c r="D65" s="847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797"/>
    </row>
    <row r="66" spans="1:10" ht="17.100000000000001" customHeight="1">
      <c r="A66" s="847"/>
      <c r="B66" s="847"/>
      <c r="C66" s="847"/>
      <c r="D66" s="847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797"/>
    </row>
    <row r="67" spans="1:10" ht="17.100000000000001" customHeight="1">
      <c r="A67" s="847"/>
      <c r="B67" s="847"/>
      <c r="C67" s="847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797"/>
    </row>
    <row r="68" spans="1:10" s="395" customFormat="1" ht="17.100000000000001" customHeight="1">
      <c r="A68" s="844"/>
      <c r="B68" s="844"/>
      <c r="C68" s="844" t="s">
        <v>1635</v>
      </c>
      <c r="D68" s="844"/>
      <c r="E68" s="844"/>
      <c r="F68" s="374"/>
      <c r="G68" s="374"/>
      <c r="H68" s="375"/>
      <c r="I68" s="567">
        <f>SUM(I24:I67)</f>
        <v>1184647.22</v>
      </c>
      <c r="J68" s="797"/>
    </row>
    <row r="69" spans="1:10" ht="17.100000000000001" customHeight="1">
      <c r="A69" s="847"/>
      <c r="B69" s="847"/>
      <c r="C69" s="847" t="s">
        <v>1407</v>
      </c>
      <c r="D69" s="847"/>
      <c r="E69" s="847"/>
      <c r="F69" s="397"/>
      <c r="G69" s="397">
        <v>0</v>
      </c>
      <c r="H69" s="926">
        <v>0.1</v>
      </c>
      <c r="I69" s="927">
        <f>H69*I68</f>
        <v>118464.72200000001</v>
      </c>
      <c r="J69" s="797"/>
    </row>
    <row r="70" spans="1:10" ht="17.100000000000001" customHeight="1">
      <c r="A70" s="847"/>
      <c r="B70" s="847"/>
      <c r="C70" s="847" t="s">
        <v>1636</v>
      </c>
      <c r="D70" s="847"/>
      <c r="E70" s="847"/>
      <c r="F70" s="397"/>
      <c r="G70" s="397">
        <v>0</v>
      </c>
      <c r="H70" s="926"/>
      <c r="I70" s="927">
        <f>H70*G70</f>
        <v>0</v>
      </c>
      <c r="J70" s="797"/>
    </row>
    <row r="71" spans="1:10" ht="17.100000000000001" customHeight="1">
      <c r="A71" s="847"/>
      <c r="B71" s="847"/>
      <c r="C71" s="847" t="s">
        <v>1408</v>
      </c>
      <c r="D71" s="847"/>
      <c r="E71" s="847"/>
      <c r="F71" s="397"/>
      <c r="G71" s="397">
        <v>0</v>
      </c>
      <c r="H71" s="926"/>
      <c r="I71" s="927" t="e">
        <f>#REF!</f>
        <v>#REF!</v>
      </c>
      <c r="J71" s="797"/>
    </row>
    <row r="72" spans="1:10" ht="17.100000000000001" customHeight="1">
      <c r="A72" s="847"/>
      <c r="B72" s="847"/>
      <c r="C72" s="847" t="s">
        <v>1409</v>
      </c>
      <c r="D72" s="847"/>
      <c r="E72" s="847"/>
      <c r="F72" s="397"/>
      <c r="G72" s="397"/>
      <c r="H72" s="926"/>
      <c r="I72" s="927">
        <f>H72</f>
        <v>0</v>
      </c>
      <c r="J72" s="797"/>
    </row>
    <row r="73" spans="1:10" ht="17.100000000000001" customHeight="1">
      <c r="A73" s="847"/>
      <c r="B73" s="847"/>
      <c r="C73" s="847" t="s">
        <v>1410</v>
      </c>
      <c r="D73" s="847"/>
      <c r="E73" s="847"/>
      <c r="F73" s="397"/>
      <c r="G73" s="397"/>
      <c r="H73" s="926"/>
      <c r="I73" s="927">
        <f>H73</f>
        <v>0</v>
      </c>
      <c r="J73" s="797"/>
    </row>
    <row r="74" spans="1:10" ht="17.100000000000001" customHeight="1">
      <c r="A74" s="847"/>
      <c r="B74" s="847"/>
      <c r="C74" s="847" t="s">
        <v>1637</v>
      </c>
      <c r="D74" s="847"/>
      <c r="E74" s="847"/>
      <c r="F74" s="397" t="s">
        <v>1638</v>
      </c>
      <c r="G74" s="847">
        <v>40</v>
      </c>
      <c r="H74" s="928">
        <v>1800</v>
      </c>
      <c r="I74" s="929">
        <f t="shared" ref="I74:I86" si="1">G74*H74</f>
        <v>72000</v>
      </c>
      <c r="J74" s="797"/>
    </row>
    <row r="75" spans="1:10" ht="17.100000000000001" customHeight="1">
      <c r="A75" s="847"/>
      <c r="B75" s="847"/>
      <c r="C75" s="847" t="s">
        <v>1637</v>
      </c>
      <c r="D75" s="847"/>
      <c r="E75" s="847"/>
      <c r="F75" s="397" t="s">
        <v>1638</v>
      </c>
      <c r="G75" s="847"/>
      <c r="H75" s="928"/>
      <c r="I75" s="929"/>
      <c r="J75" s="797"/>
    </row>
    <row r="76" spans="1:10" ht="17.100000000000001" customHeight="1">
      <c r="A76" s="847"/>
      <c r="B76" s="847"/>
      <c r="C76" s="844" t="s">
        <v>1639</v>
      </c>
      <c r="D76" s="844"/>
      <c r="E76" s="844"/>
      <c r="F76" s="397"/>
      <c r="G76" s="397"/>
      <c r="H76" s="381"/>
      <c r="I76" s="561">
        <f>I69+I74</f>
        <v>190464.72200000001</v>
      </c>
      <c r="J76" s="797"/>
    </row>
    <row r="77" spans="1:10" s="482" customFormat="1" ht="17.100000000000001" customHeight="1">
      <c r="A77" s="844"/>
      <c r="B77" s="844"/>
      <c r="C77" s="844" t="s">
        <v>24</v>
      </c>
      <c r="D77" s="844"/>
      <c r="E77" s="844"/>
      <c r="F77" s="374"/>
      <c r="G77" s="374"/>
      <c r="H77" s="375"/>
      <c r="I77" s="567">
        <f>I68+I76</f>
        <v>1375111.942</v>
      </c>
      <c r="J77" s="797"/>
    </row>
    <row r="78" spans="1:10" ht="17.100000000000001" customHeight="1">
      <c r="A78" s="847">
        <v>4</v>
      </c>
      <c r="B78" s="847" t="s">
        <v>1666</v>
      </c>
      <c r="C78" s="847" t="s">
        <v>1369</v>
      </c>
      <c r="D78" s="847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32">
        <f>ROUND(I95*0.8,0)</f>
        <v>165538</v>
      </c>
    </row>
    <row r="79" spans="1:10" ht="17.100000000000001" customHeight="1">
      <c r="A79" s="847"/>
      <c r="B79" s="847"/>
      <c r="C79" s="847"/>
      <c r="D79" s="847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797"/>
    </row>
    <row r="80" spans="1:10" ht="17.100000000000001" customHeight="1">
      <c r="A80" s="847"/>
      <c r="B80" s="847"/>
      <c r="C80" s="847"/>
      <c r="D80" s="847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797"/>
    </row>
    <row r="81" spans="1:17" ht="17.100000000000001" customHeight="1">
      <c r="A81" s="847"/>
      <c r="B81" s="847"/>
      <c r="C81" s="847"/>
      <c r="D81" s="847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797"/>
    </row>
    <row r="82" spans="1:17" ht="17.100000000000001" customHeight="1">
      <c r="A82" s="847"/>
      <c r="B82" s="847"/>
      <c r="C82" s="847"/>
      <c r="D82" s="847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797"/>
    </row>
    <row r="83" spans="1:17" ht="17.100000000000001" customHeight="1">
      <c r="A83" s="847"/>
      <c r="B83" s="847"/>
      <c r="C83" s="847"/>
      <c r="D83" s="847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797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47"/>
      <c r="B84" s="847"/>
      <c r="C84" s="847"/>
      <c r="D84" s="847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797"/>
    </row>
    <row r="85" spans="1:17" ht="17.100000000000001" customHeight="1">
      <c r="A85" s="847"/>
      <c r="B85" s="847"/>
      <c r="C85" s="847"/>
      <c r="D85" s="847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797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47"/>
      <c r="B86" s="847"/>
      <c r="C86" s="847"/>
      <c r="D86" s="847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797"/>
    </row>
    <row r="87" spans="1:17" s="395" customFormat="1" ht="17.100000000000001" customHeight="1">
      <c r="A87" s="844"/>
      <c r="B87" s="844"/>
      <c r="C87" s="844" t="s">
        <v>1635</v>
      </c>
      <c r="D87" s="844"/>
      <c r="E87" s="844"/>
      <c r="F87" s="374"/>
      <c r="G87" s="374"/>
      <c r="H87" s="375"/>
      <c r="I87" s="567">
        <f>SUM(I78:I86)</f>
        <v>180475</v>
      </c>
      <c r="J87" s="797"/>
    </row>
    <row r="88" spans="1:17" ht="17.100000000000001" customHeight="1">
      <c r="A88" s="847"/>
      <c r="B88" s="847"/>
      <c r="C88" s="847" t="s">
        <v>1636</v>
      </c>
      <c r="D88" s="847"/>
      <c r="E88" s="847"/>
      <c r="F88" s="397"/>
      <c r="G88" s="397">
        <v>0</v>
      </c>
      <c r="H88" s="926">
        <v>0.1</v>
      </c>
      <c r="I88" s="927">
        <f>H88*I87</f>
        <v>18047.5</v>
      </c>
      <c r="J88" s="797"/>
    </row>
    <row r="89" spans="1:17" ht="17.100000000000001" customHeight="1">
      <c r="A89" s="847"/>
      <c r="B89" s="847"/>
      <c r="C89" s="847" t="s">
        <v>1408</v>
      </c>
      <c r="D89" s="847"/>
      <c r="E89" s="847"/>
      <c r="F89" s="397"/>
      <c r="G89" s="397">
        <v>0</v>
      </c>
      <c r="H89" s="926"/>
      <c r="I89" s="927"/>
      <c r="J89" s="797"/>
    </row>
    <row r="90" spans="1:17" ht="17.100000000000001" customHeight="1">
      <c r="A90" s="847"/>
      <c r="B90" s="847"/>
      <c r="C90" s="847" t="s">
        <v>1409</v>
      </c>
      <c r="D90" s="847"/>
      <c r="E90" s="847"/>
      <c r="F90" s="397"/>
      <c r="G90" s="397"/>
      <c r="H90" s="926"/>
      <c r="I90" s="927"/>
      <c r="J90" s="797"/>
    </row>
    <row r="91" spans="1:17" ht="17.100000000000001" customHeight="1">
      <c r="A91" s="847"/>
      <c r="B91" s="847"/>
      <c r="C91" s="847" t="s">
        <v>1410</v>
      </c>
      <c r="D91" s="847"/>
      <c r="E91" s="847"/>
      <c r="F91" s="397"/>
      <c r="G91" s="397"/>
      <c r="H91" s="926"/>
      <c r="I91" s="927"/>
      <c r="J91" s="797"/>
    </row>
    <row r="92" spans="1:17" ht="17.100000000000001" customHeight="1">
      <c r="A92" s="847"/>
      <c r="B92" s="847"/>
      <c r="C92" s="847" t="s">
        <v>1637</v>
      </c>
      <c r="D92" s="847"/>
      <c r="E92" s="847"/>
      <c r="F92" s="397" t="s">
        <v>1638</v>
      </c>
      <c r="G92" s="847">
        <v>4</v>
      </c>
      <c r="H92" s="928">
        <v>2100</v>
      </c>
      <c r="I92" s="929">
        <f t="shared" ref="I92:I98" si="2">G92*H92</f>
        <v>8400</v>
      </c>
      <c r="J92" s="797"/>
    </row>
    <row r="93" spans="1:17" ht="17.100000000000001" customHeight="1">
      <c r="A93" s="847"/>
      <c r="B93" s="847"/>
      <c r="C93" s="847" t="s">
        <v>1637</v>
      </c>
      <c r="D93" s="847"/>
      <c r="E93" s="847"/>
      <c r="F93" s="397" t="s">
        <v>1638</v>
      </c>
      <c r="G93" s="847"/>
      <c r="H93" s="928"/>
      <c r="I93" s="929"/>
      <c r="J93" s="797"/>
    </row>
    <row r="94" spans="1:17" s="395" customFormat="1" ht="17.100000000000001" customHeight="1">
      <c r="A94" s="844"/>
      <c r="B94" s="844"/>
      <c r="C94" s="844" t="s">
        <v>1639</v>
      </c>
      <c r="D94" s="844"/>
      <c r="E94" s="844"/>
      <c r="F94" s="374"/>
      <c r="G94" s="374"/>
      <c r="H94" s="375"/>
      <c r="I94" s="567">
        <f>SUM(I88:I93)</f>
        <v>26447.5</v>
      </c>
      <c r="J94" s="797"/>
    </row>
    <row r="95" spans="1:17" s="395" customFormat="1" ht="17.100000000000001" customHeight="1">
      <c r="A95" s="844"/>
      <c r="B95" s="844"/>
      <c r="C95" s="844" t="s">
        <v>24</v>
      </c>
      <c r="D95" s="844"/>
      <c r="E95" s="844"/>
      <c r="F95" s="374"/>
      <c r="G95" s="374"/>
      <c r="H95" s="375"/>
      <c r="I95" s="567">
        <f>I87+I94</f>
        <v>206922.5</v>
      </c>
      <c r="J95" s="797"/>
    </row>
    <row r="96" spans="1:17" ht="17.100000000000001" customHeight="1">
      <c r="A96" s="847">
        <v>5</v>
      </c>
      <c r="B96" s="847" t="s">
        <v>887</v>
      </c>
      <c r="C96" s="847" t="s">
        <v>1369</v>
      </c>
      <c r="D96" s="847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32">
        <f>ROUND(I107*0.8,0)</f>
        <v>261056</v>
      </c>
    </row>
    <row r="97" spans="1:10" ht="17.100000000000001" customHeight="1">
      <c r="A97" s="847"/>
      <c r="B97" s="847"/>
      <c r="C97" s="847"/>
      <c r="D97" s="847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32"/>
    </row>
    <row r="98" spans="1:10" ht="17.100000000000001" customHeight="1">
      <c r="A98" s="847"/>
      <c r="B98" s="847"/>
      <c r="C98" s="847"/>
      <c r="D98" s="847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32"/>
    </row>
    <row r="99" spans="1:10" s="395" customFormat="1" ht="17.100000000000001" customHeight="1">
      <c r="A99" s="844"/>
      <c r="B99" s="844"/>
      <c r="C99" s="844" t="s">
        <v>1635</v>
      </c>
      <c r="D99" s="844"/>
      <c r="E99" s="844"/>
      <c r="F99" s="374"/>
      <c r="G99" s="374"/>
      <c r="H99" s="375"/>
      <c r="I99" s="567">
        <f>SUM(I96:I98)</f>
        <v>285200</v>
      </c>
      <c r="J99" s="832"/>
    </row>
    <row r="100" spans="1:10" ht="17.100000000000001" customHeight="1">
      <c r="A100" s="847"/>
      <c r="B100" s="847"/>
      <c r="C100" s="847" t="s">
        <v>1636</v>
      </c>
      <c r="D100" s="847"/>
      <c r="E100" s="847"/>
      <c r="F100" s="397"/>
      <c r="G100" s="379">
        <v>0</v>
      </c>
      <c r="H100" s="926">
        <v>0.1</v>
      </c>
      <c r="I100" s="927">
        <f>H100*I99</f>
        <v>28520</v>
      </c>
      <c r="J100" s="832"/>
    </row>
    <row r="101" spans="1:10" ht="17.100000000000001" customHeight="1">
      <c r="A101" s="847"/>
      <c r="B101" s="847"/>
      <c r="C101" s="847" t="s">
        <v>1408</v>
      </c>
      <c r="D101" s="847"/>
      <c r="E101" s="847"/>
      <c r="F101" s="397"/>
      <c r="G101" s="379">
        <v>0</v>
      </c>
      <c r="H101" s="926"/>
      <c r="I101" s="927"/>
      <c r="J101" s="832"/>
    </row>
    <row r="102" spans="1:10" ht="17.100000000000001" customHeight="1">
      <c r="A102" s="847"/>
      <c r="B102" s="847"/>
      <c r="C102" s="847" t="s">
        <v>1409</v>
      </c>
      <c r="D102" s="847"/>
      <c r="E102" s="847"/>
      <c r="F102" s="397"/>
      <c r="G102" s="379"/>
      <c r="H102" s="926"/>
      <c r="I102" s="927"/>
      <c r="J102" s="832"/>
    </row>
    <row r="103" spans="1:10" ht="17.100000000000001" customHeight="1">
      <c r="A103" s="847"/>
      <c r="B103" s="847"/>
      <c r="C103" s="847" t="s">
        <v>1410</v>
      </c>
      <c r="D103" s="847"/>
      <c r="E103" s="847"/>
      <c r="F103" s="397"/>
      <c r="G103" s="379"/>
      <c r="H103" s="926"/>
      <c r="I103" s="927"/>
      <c r="J103" s="832"/>
    </row>
    <row r="104" spans="1:10" ht="17.100000000000001" customHeight="1">
      <c r="A104" s="847"/>
      <c r="B104" s="847"/>
      <c r="C104" s="847" t="s">
        <v>1637</v>
      </c>
      <c r="D104" s="847"/>
      <c r="E104" s="847"/>
      <c r="F104" s="397" t="s">
        <v>1638</v>
      </c>
      <c r="G104" s="847">
        <v>7</v>
      </c>
      <c r="H104" s="928">
        <v>1800</v>
      </c>
      <c r="I104" s="929">
        <f>G104*H104</f>
        <v>12600</v>
      </c>
      <c r="J104" s="832"/>
    </row>
    <row r="105" spans="1:10" ht="17.100000000000001" customHeight="1">
      <c r="A105" s="847"/>
      <c r="B105" s="847"/>
      <c r="C105" s="847" t="s">
        <v>1637</v>
      </c>
      <c r="D105" s="847"/>
      <c r="E105" s="847"/>
      <c r="F105" s="397" t="s">
        <v>1638</v>
      </c>
      <c r="G105" s="847"/>
      <c r="H105" s="928"/>
      <c r="I105" s="929"/>
      <c r="J105" s="832"/>
    </row>
    <row r="106" spans="1:10" ht="17.100000000000001" customHeight="1">
      <c r="A106" s="847"/>
      <c r="B106" s="847"/>
      <c r="C106" s="844" t="s">
        <v>1639</v>
      </c>
      <c r="D106" s="844"/>
      <c r="E106" s="844"/>
      <c r="F106" s="397"/>
      <c r="G106" s="397"/>
      <c r="H106" s="381"/>
      <c r="I106" s="561">
        <f>SUM(I100:I105)</f>
        <v>41120</v>
      </c>
      <c r="J106" s="832"/>
    </row>
    <row r="107" spans="1:10" s="395" customFormat="1" ht="17.100000000000001" customHeight="1">
      <c r="A107" s="844"/>
      <c r="B107" s="844"/>
      <c r="C107" s="844" t="s">
        <v>24</v>
      </c>
      <c r="D107" s="844"/>
      <c r="E107" s="844"/>
      <c r="F107" s="374"/>
      <c r="G107" s="374"/>
      <c r="H107" s="375"/>
      <c r="I107" s="567">
        <f>I99+I106</f>
        <v>326320</v>
      </c>
      <c r="J107" s="832"/>
    </row>
    <row r="108" spans="1:10" ht="17.100000000000001" customHeight="1">
      <c r="A108" s="379"/>
      <c r="B108" s="397"/>
      <c r="C108" s="829" t="s">
        <v>1540</v>
      </c>
      <c r="D108" s="829"/>
      <c r="E108" s="829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901" t="s">
        <v>1678</v>
      </c>
      <c r="B1" s="901"/>
      <c r="C1" s="901"/>
      <c r="D1" s="901"/>
      <c r="E1" s="901"/>
      <c r="F1" s="901"/>
      <c r="G1" s="901"/>
      <c r="H1" s="901"/>
      <c r="I1" s="901"/>
      <c r="J1" s="901"/>
      <c r="K1" s="902"/>
    </row>
    <row r="2" spans="1:11" ht="30" customHeight="1">
      <c r="A2" s="938" t="s">
        <v>1</v>
      </c>
      <c r="B2" s="938" t="s">
        <v>1588</v>
      </c>
      <c r="C2" s="938" t="s">
        <v>1679</v>
      </c>
      <c r="D2" s="938" t="s">
        <v>1589</v>
      </c>
      <c r="E2" s="938" t="s">
        <v>1419</v>
      </c>
      <c r="F2" s="938" t="s">
        <v>1680</v>
      </c>
      <c r="G2" s="931" t="s">
        <v>1681</v>
      </c>
      <c r="H2" s="931"/>
      <c r="I2" s="931"/>
      <c r="J2" s="931"/>
      <c r="K2" s="931" t="s">
        <v>1805</v>
      </c>
    </row>
    <row r="3" spans="1:11" s="474" customFormat="1" ht="42.95" customHeight="1">
      <c r="A3" s="938"/>
      <c r="B3" s="938"/>
      <c r="C3" s="938"/>
      <c r="D3" s="938"/>
      <c r="E3" s="938"/>
      <c r="F3" s="938"/>
      <c r="G3" s="488" t="s">
        <v>533</v>
      </c>
      <c r="H3" s="489" t="s">
        <v>1366</v>
      </c>
      <c r="I3" s="489" t="s">
        <v>1591</v>
      </c>
      <c r="J3" s="490" t="s">
        <v>1592</v>
      </c>
      <c r="K3" s="932"/>
    </row>
    <row r="4" spans="1:11" ht="18" customHeight="1">
      <c r="A4" s="933">
        <v>1</v>
      </c>
      <c r="B4" s="933" t="s">
        <v>395</v>
      </c>
      <c r="C4" s="933" t="s">
        <v>1682</v>
      </c>
      <c r="D4" s="934" t="s">
        <v>1369</v>
      </c>
      <c r="E4" s="933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31">
        <f>ROUND(J12*0.8,0)</f>
        <v>321693</v>
      </c>
    </row>
    <row r="5" spans="1:11" ht="18" customHeight="1">
      <c r="A5" s="933"/>
      <c r="B5" s="933"/>
      <c r="C5" s="933"/>
      <c r="D5" s="934"/>
      <c r="E5" s="933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31"/>
    </row>
    <row r="6" spans="1:11" ht="18" customHeight="1">
      <c r="A6" s="933"/>
      <c r="B6" s="933"/>
      <c r="C6" s="933"/>
      <c r="D6" s="934"/>
      <c r="E6" s="933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31"/>
    </row>
    <row r="7" spans="1:11" ht="18" customHeight="1">
      <c r="A7" s="933"/>
      <c r="B7" s="933"/>
      <c r="C7" s="933"/>
      <c r="D7" s="934"/>
      <c r="E7" s="933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31"/>
    </row>
    <row r="8" spans="1:11" ht="18" customHeight="1">
      <c r="A8" s="933"/>
      <c r="B8" s="933"/>
      <c r="C8" s="933"/>
      <c r="D8" s="934"/>
      <c r="E8" s="933" t="s">
        <v>1688</v>
      </c>
      <c r="F8" s="491" t="s">
        <v>1689</v>
      </c>
      <c r="G8" s="936" t="s">
        <v>1372</v>
      </c>
      <c r="H8" s="934">
        <v>720</v>
      </c>
      <c r="I8" s="934">
        <v>400</v>
      </c>
      <c r="J8" s="934">
        <f t="shared" si="0"/>
        <v>288000</v>
      </c>
      <c r="K8" s="931"/>
    </row>
    <row r="9" spans="1:11" ht="18" customHeight="1">
      <c r="A9" s="933"/>
      <c r="B9" s="933"/>
      <c r="C9" s="933"/>
      <c r="D9" s="934"/>
      <c r="E9" s="933"/>
      <c r="F9" s="491" t="s">
        <v>1690</v>
      </c>
      <c r="G9" s="936"/>
      <c r="H9" s="934"/>
      <c r="I9" s="934"/>
      <c r="J9" s="934"/>
      <c r="K9" s="931"/>
    </row>
    <row r="10" spans="1:11" ht="18" customHeight="1">
      <c r="A10" s="933"/>
      <c r="B10" s="933"/>
      <c r="C10" s="933"/>
      <c r="D10" s="934"/>
      <c r="E10" s="935" t="s">
        <v>1424</v>
      </c>
      <c r="F10" s="935"/>
      <c r="G10" s="495"/>
      <c r="H10" s="496"/>
      <c r="I10" s="496"/>
      <c r="J10" s="495">
        <f>SUM(J4:J9)</f>
        <v>360651</v>
      </c>
      <c r="K10" s="931"/>
    </row>
    <row r="11" spans="1:11" ht="18" customHeight="1">
      <c r="A11" s="933"/>
      <c r="B11" s="933"/>
      <c r="C11" s="933"/>
      <c r="D11" s="934"/>
      <c r="E11" s="931" t="s">
        <v>1603</v>
      </c>
      <c r="F11" s="931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31"/>
    </row>
    <row r="12" spans="1:11" ht="18" customHeight="1">
      <c r="A12" s="933"/>
      <c r="B12" s="933"/>
      <c r="C12" s="933"/>
      <c r="D12" s="934"/>
      <c r="E12" s="937" t="s">
        <v>1428</v>
      </c>
      <c r="F12" s="937"/>
      <c r="G12" s="498"/>
      <c r="H12" s="496"/>
      <c r="I12" s="496"/>
      <c r="J12" s="498">
        <f>J10+J11</f>
        <v>402116</v>
      </c>
      <c r="K12" s="931"/>
    </row>
    <row r="13" spans="1:11" ht="18" customHeight="1">
      <c r="A13" s="933">
        <v>2</v>
      </c>
      <c r="B13" s="933" t="s">
        <v>1691</v>
      </c>
      <c r="C13" s="933" t="s">
        <v>1692</v>
      </c>
      <c r="D13" s="934" t="s">
        <v>1616</v>
      </c>
      <c r="E13" s="933" t="s">
        <v>1693</v>
      </c>
      <c r="F13" s="933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31">
        <f>ROUND(J18*0.8,0)</f>
        <v>353982</v>
      </c>
    </row>
    <row r="14" spans="1:11" ht="18" customHeight="1">
      <c r="A14" s="933"/>
      <c r="B14" s="933"/>
      <c r="C14" s="933"/>
      <c r="D14" s="934"/>
      <c r="E14" s="933"/>
      <c r="F14" s="933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31"/>
    </row>
    <row r="15" spans="1:11" ht="18" customHeight="1">
      <c r="A15" s="933"/>
      <c r="B15" s="933"/>
      <c r="C15" s="933"/>
      <c r="D15" s="934"/>
      <c r="E15" s="933" t="s">
        <v>1694</v>
      </c>
      <c r="F15" s="933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31"/>
    </row>
    <row r="16" spans="1:11" ht="18" customHeight="1">
      <c r="A16" s="933"/>
      <c r="B16" s="933"/>
      <c r="C16" s="933"/>
      <c r="D16" s="934"/>
      <c r="E16" s="935" t="s">
        <v>1424</v>
      </c>
      <c r="F16" s="935"/>
      <c r="G16" s="495"/>
      <c r="H16" s="500"/>
      <c r="I16" s="500"/>
      <c r="J16" s="495">
        <f>SUM(J13:J15)</f>
        <v>374980</v>
      </c>
      <c r="K16" s="931"/>
    </row>
    <row r="17" spans="1:11" ht="18" customHeight="1">
      <c r="A17" s="933"/>
      <c r="B17" s="933"/>
      <c r="C17" s="933"/>
      <c r="D17" s="934"/>
      <c r="E17" s="935" t="s">
        <v>1603</v>
      </c>
      <c r="F17" s="935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31"/>
    </row>
    <row r="18" spans="1:11" ht="18" customHeight="1">
      <c r="A18" s="933"/>
      <c r="B18" s="933"/>
      <c r="C18" s="933"/>
      <c r="D18" s="934"/>
      <c r="E18" s="935" t="s">
        <v>1428</v>
      </c>
      <c r="F18" s="935"/>
      <c r="G18" s="498"/>
      <c r="H18" s="496"/>
      <c r="I18" s="496"/>
      <c r="J18" s="498">
        <f>SUM(J16,J17)</f>
        <v>442478</v>
      </c>
      <c r="K18" s="931"/>
    </row>
    <row r="19" spans="1:11" ht="18" customHeight="1">
      <c r="A19" s="500"/>
      <c r="B19" s="500"/>
      <c r="C19" s="500"/>
      <c r="D19" s="500"/>
      <c r="E19" s="931" t="s">
        <v>1540</v>
      </c>
      <c r="F19" s="932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F2:F3"/>
    <mergeCell ref="G2:J2"/>
    <mergeCell ref="A2:A3"/>
    <mergeCell ref="B2:B3"/>
    <mergeCell ref="C2:C3"/>
    <mergeCell ref="D2:D3"/>
    <mergeCell ref="E2:E3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34" t="s">
        <v>1695</v>
      </c>
      <c r="B1" s="834"/>
      <c r="C1" s="834"/>
      <c r="D1" s="834"/>
      <c r="E1" s="834"/>
      <c r="F1" s="834"/>
      <c r="G1" s="834"/>
      <c r="H1" s="834"/>
      <c r="I1" s="834"/>
      <c r="J1" s="835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45">
        <v>1</v>
      </c>
      <c r="B3" s="953" t="s">
        <v>1696</v>
      </c>
      <c r="C3" s="847" t="s">
        <v>1697</v>
      </c>
      <c r="D3" s="954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925">
        <f>ROUND(I13*0.8,0)</f>
        <v>80566</v>
      </c>
    </row>
    <row r="4" spans="1:10" s="507" customFormat="1" ht="18" customHeight="1">
      <c r="A4" s="845"/>
      <c r="B4" s="953"/>
      <c r="C4" s="847"/>
      <c r="D4" s="954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925"/>
    </row>
    <row r="5" spans="1:10" s="507" customFormat="1" ht="18" customHeight="1">
      <c r="A5" s="845"/>
      <c r="B5" s="953"/>
      <c r="C5" s="847"/>
      <c r="D5" s="954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925"/>
    </row>
    <row r="6" spans="1:10" s="507" customFormat="1" ht="18" customHeight="1">
      <c r="A6" s="845"/>
      <c r="B6" s="953"/>
      <c r="C6" s="847"/>
      <c r="D6" s="954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925"/>
    </row>
    <row r="7" spans="1:10" s="507" customFormat="1" ht="18" customHeight="1">
      <c r="A7" s="845"/>
      <c r="B7" s="953"/>
      <c r="C7" s="831" t="s">
        <v>1406</v>
      </c>
      <c r="D7" s="831"/>
      <c r="E7" s="831"/>
      <c r="F7" s="379"/>
      <c r="G7" s="394"/>
      <c r="H7" s="562"/>
      <c r="I7" s="580">
        <f>SUM(I3:I6)</f>
        <v>91552.4</v>
      </c>
      <c r="J7" s="925"/>
    </row>
    <row r="8" spans="1:10" s="507" customFormat="1" ht="18" customHeight="1">
      <c r="A8" s="845"/>
      <c r="B8" s="953"/>
      <c r="C8" s="830" t="s">
        <v>1704</v>
      </c>
      <c r="D8" s="830"/>
      <c r="E8" s="946"/>
      <c r="F8" s="379"/>
      <c r="G8" s="508"/>
      <c r="H8" s="940">
        <v>0.1</v>
      </c>
      <c r="I8" s="950">
        <f>I7*H8</f>
        <v>9155.24</v>
      </c>
      <c r="J8" s="925"/>
    </row>
    <row r="9" spans="1:10" s="507" customFormat="1" ht="18" customHeight="1">
      <c r="A9" s="845"/>
      <c r="B9" s="953"/>
      <c r="C9" s="830" t="s">
        <v>1408</v>
      </c>
      <c r="D9" s="830"/>
      <c r="E9" s="946"/>
      <c r="F9" s="379"/>
      <c r="G9" s="508"/>
      <c r="H9" s="941"/>
      <c r="I9" s="951"/>
      <c r="J9" s="925"/>
    </row>
    <row r="10" spans="1:10" s="507" customFormat="1" ht="18" customHeight="1">
      <c r="A10" s="845"/>
      <c r="B10" s="953"/>
      <c r="C10" s="830" t="s">
        <v>1409</v>
      </c>
      <c r="D10" s="830"/>
      <c r="E10" s="946"/>
      <c r="F10" s="379"/>
      <c r="G10" s="508"/>
      <c r="H10" s="941"/>
      <c r="I10" s="951"/>
      <c r="J10" s="925"/>
    </row>
    <row r="11" spans="1:10" s="507" customFormat="1" ht="18" customHeight="1">
      <c r="A11" s="845"/>
      <c r="B11" s="953"/>
      <c r="C11" s="830" t="s">
        <v>1410</v>
      </c>
      <c r="D11" s="830"/>
      <c r="E11" s="946"/>
      <c r="F11" s="379"/>
      <c r="G11" s="508"/>
      <c r="H11" s="942"/>
      <c r="I11" s="952"/>
      <c r="J11" s="925"/>
    </row>
    <row r="12" spans="1:10" s="507" customFormat="1" ht="18" customHeight="1">
      <c r="A12" s="845"/>
      <c r="B12" s="953"/>
      <c r="C12" s="831" t="s">
        <v>1418</v>
      </c>
      <c r="D12" s="831"/>
      <c r="E12" s="831"/>
      <c r="F12" s="379"/>
      <c r="G12" s="394"/>
      <c r="H12" s="562"/>
      <c r="I12" s="565">
        <f>I10+I11+I9+I8</f>
        <v>9155.24</v>
      </c>
      <c r="J12" s="925"/>
    </row>
    <row r="13" spans="1:10" s="507" customFormat="1" ht="18" customHeight="1">
      <c r="A13" s="845"/>
      <c r="B13" s="953"/>
      <c r="C13" s="831" t="s">
        <v>24</v>
      </c>
      <c r="D13" s="831"/>
      <c r="E13" s="831"/>
      <c r="F13" s="379"/>
      <c r="G13" s="394"/>
      <c r="H13" s="562"/>
      <c r="I13" s="565">
        <f>I12+I7</f>
        <v>100707.64</v>
      </c>
      <c r="J13" s="925"/>
    </row>
    <row r="14" spans="1:10" s="507" customFormat="1" ht="18" customHeight="1">
      <c r="A14" s="845">
        <v>2</v>
      </c>
      <c r="B14" s="953" t="s">
        <v>474</v>
      </c>
      <c r="C14" s="847" t="s">
        <v>1705</v>
      </c>
      <c r="D14" s="843" t="s">
        <v>1706</v>
      </c>
      <c r="E14" s="852" t="s">
        <v>1707</v>
      </c>
      <c r="F14" s="852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925">
        <f>ROUND(I35*0.8,0)</f>
        <v>2477934</v>
      </c>
    </row>
    <row r="15" spans="1:10" s="507" customFormat="1" ht="18" customHeight="1">
      <c r="A15" s="845"/>
      <c r="B15" s="953"/>
      <c r="C15" s="847"/>
      <c r="D15" s="843"/>
      <c r="E15" s="853"/>
      <c r="F15" s="853"/>
      <c r="G15" s="378">
        <v>1</v>
      </c>
      <c r="H15" s="571">
        <v>1600</v>
      </c>
      <c r="I15" s="564">
        <f t="shared" si="1"/>
        <v>1600</v>
      </c>
      <c r="J15" s="925"/>
    </row>
    <row r="16" spans="1:10" s="507" customFormat="1" ht="18" customHeight="1">
      <c r="A16" s="845"/>
      <c r="B16" s="953"/>
      <c r="C16" s="847"/>
      <c r="D16" s="843"/>
      <c r="E16" s="853"/>
      <c r="F16" s="853"/>
      <c r="G16" s="378">
        <v>30</v>
      </c>
      <c r="H16" s="571">
        <v>800</v>
      </c>
      <c r="I16" s="564">
        <f t="shared" si="1"/>
        <v>24000</v>
      </c>
      <c r="J16" s="925"/>
    </row>
    <row r="17" spans="1:10" s="507" customFormat="1" ht="18" customHeight="1">
      <c r="A17" s="845"/>
      <c r="B17" s="953"/>
      <c r="C17" s="847"/>
      <c r="D17" s="843"/>
      <c r="E17" s="853"/>
      <c r="F17" s="854"/>
      <c r="G17" s="378">
        <v>30</v>
      </c>
      <c r="H17" s="571">
        <v>50</v>
      </c>
      <c r="I17" s="564">
        <f t="shared" si="1"/>
        <v>1500</v>
      </c>
      <c r="J17" s="925"/>
    </row>
    <row r="18" spans="1:10" s="507" customFormat="1" ht="18" customHeight="1">
      <c r="A18" s="845"/>
      <c r="B18" s="953"/>
      <c r="C18" s="847"/>
      <c r="D18" s="843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925"/>
    </row>
    <row r="19" spans="1:10" s="507" customFormat="1" ht="18" customHeight="1">
      <c r="A19" s="845"/>
      <c r="B19" s="953"/>
      <c r="C19" s="847"/>
      <c r="D19" s="843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925"/>
    </row>
    <row r="20" spans="1:10" s="507" customFormat="1" ht="18" customHeight="1">
      <c r="A20" s="845"/>
      <c r="B20" s="953"/>
      <c r="C20" s="847"/>
      <c r="D20" s="843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925"/>
    </row>
    <row r="21" spans="1:10" s="507" customFormat="1" ht="18" customHeight="1">
      <c r="A21" s="845"/>
      <c r="B21" s="953"/>
      <c r="C21" s="847"/>
      <c r="D21" s="843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925"/>
    </row>
    <row r="22" spans="1:10" s="507" customFormat="1" ht="18" customHeight="1">
      <c r="A22" s="845"/>
      <c r="B22" s="953"/>
      <c r="C22" s="847"/>
      <c r="D22" s="843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925"/>
    </row>
    <row r="23" spans="1:10" s="507" customFormat="1" ht="18" customHeight="1">
      <c r="A23" s="845"/>
      <c r="B23" s="953"/>
      <c r="C23" s="847"/>
      <c r="D23" s="843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925"/>
    </row>
    <row r="24" spans="1:10" s="507" customFormat="1" ht="18" customHeight="1">
      <c r="A24" s="845"/>
      <c r="B24" s="953"/>
      <c r="C24" s="847"/>
      <c r="D24" s="843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925"/>
    </row>
    <row r="25" spans="1:10" s="507" customFormat="1" ht="18" customHeight="1">
      <c r="A25" s="845"/>
      <c r="B25" s="953"/>
      <c r="C25" s="847"/>
      <c r="D25" s="843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925"/>
    </row>
    <row r="26" spans="1:10" s="507" customFormat="1" ht="18" customHeight="1">
      <c r="A26" s="845"/>
      <c r="B26" s="953"/>
      <c r="C26" s="847"/>
      <c r="D26" s="843"/>
      <c r="E26" s="404" t="s">
        <v>534</v>
      </c>
      <c r="F26" s="404"/>
      <c r="G26" s="394"/>
      <c r="H26" s="572"/>
      <c r="I26" s="581">
        <f>SUM(I14:I25)</f>
        <v>2023604.4780000001</v>
      </c>
      <c r="J26" s="925"/>
    </row>
    <row r="27" spans="1:10" s="507" customFormat="1" ht="18" customHeight="1">
      <c r="A27" s="845"/>
      <c r="B27" s="953"/>
      <c r="C27" s="847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925"/>
    </row>
    <row r="28" spans="1:10" s="507" customFormat="1" ht="18" customHeight="1">
      <c r="A28" s="845"/>
      <c r="B28" s="953"/>
      <c r="C28" s="847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925"/>
    </row>
    <row r="29" spans="1:10" s="507" customFormat="1" ht="18" customHeight="1">
      <c r="A29" s="845"/>
      <c r="B29" s="953"/>
      <c r="C29" s="831" t="s">
        <v>1406</v>
      </c>
      <c r="D29" s="831"/>
      <c r="E29" s="831"/>
      <c r="F29" s="386"/>
      <c r="G29" s="510"/>
      <c r="H29" s="573"/>
      <c r="I29" s="582">
        <f>I28+I26+I27</f>
        <v>2815834.4780000001</v>
      </c>
      <c r="J29" s="925"/>
    </row>
    <row r="30" spans="1:10" s="507" customFormat="1" ht="18" customHeight="1">
      <c r="A30" s="845"/>
      <c r="B30" s="953"/>
      <c r="C30" s="830" t="s">
        <v>1408</v>
      </c>
      <c r="D30" s="830"/>
      <c r="E30" s="830"/>
      <c r="F30" s="505"/>
      <c r="G30" s="379"/>
      <c r="H30" s="940">
        <v>0.1</v>
      </c>
      <c r="I30" s="943">
        <f>I29*H30</f>
        <v>281583.44780000002</v>
      </c>
      <c r="J30" s="925"/>
    </row>
    <row r="31" spans="1:10" s="507" customFormat="1" ht="18" customHeight="1">
      <c r="A31" s="845"/>
      <c r="B31" s="953"/>
      <c r="C31" s="830" t="s">
        <v>1409</v>
      </c>
      <c r="D31" s="830"/>
      <c r="E31" s="830"/>
      <c r="F31" s="505"/>
      <c r="G31" s="379"/>
      <c r="H31" s="941"/>
      <c r="I31" s="944"/>
      <c r="J31" s="925"/>
    </row>
    <row r="32" spans="1:10" s="507" customFormat="1" ht="18" customHeight="1">
      <c r="A32" s="845"/>
      <c r="B32" s="953"/>
      <c r="C32" s="830" t="s">
        <v>1410</v>
      </c>
      <c r="D32" s="830"/>
      <c r="E32" s="830"/>
      <c r="F32" s="505"/>
      <c r="G32" s="379"/>
      <c r="H32" s="942"/>
      <c r="I32" s="945"/>
      <c r="J32" s="925"/>
    </row>
    <row r="33" spans="1:10" s="507" customFormat="1" ht="18" customHeight="1">
      <c r="A33" s="845"/>
      <c r="B33" s="953"/>
      <c r="C33" s="830" t="s">
        <v>1719</v>
      </c>
      <c r="D33" s="830"/>
      <c r="E33" s="830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925"/>
    </row>
    <row r="34" spans="1:10" s="507" customFormat="1" ht="18" customHeight="1">
      <c r="A34" s="845"/>
      <c r="B34" s="953"/>
      <c r="C34" s="831" t="s">
        <v>1418</v>
      </c>
      <c r="D34" s="831"/>
      <c r="E34" s="831"/>
      <c r="F34" s="505"/>
      <c r="G34" s="379"/>
      <c r="H34" s="560"/>
      <c r="I34" s="563">
        <f>I30+I33</f>
        <v>281583.44780000002</v>
      </c>
      <c r="J34" s="925"/>
    </row>
    <row r="35" spans="1:10" s="507" customFormat="1" ht="18" customHeight="1">
      <c r="A35" s="845"/>
      <c r="B35" s="953"/>
      <c r="C35" s="831" t="s">
        <v>24</v>
      </c>
      <c r="D35" s="831"/>
      <c r="E35" s="831"/>
      <c r="F35" s="505"/>
      <c r="G35" s="394"/>
      <c r="H35" s="562"/>
      <c r="I35" s="565">
        <f>I34+I29</f>
        <v>3097417.9258000003</v>
      </c>
      <c r="J35" s="925"/>
    </row>
    <row r="36" spans="1:10" s="511" customFormat="1" ht="18" customHeight="1">
      <c r="A36" s="845">
        <v>3</v>
      </c>
      <c r="B36" s="843" t="s">
        <v>1721</v>
      </c>
      <c r="C36" s="842" t="s">
        <v>1722</v>
      </c>
      <c r="D36" s="843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32">
        <f>ROUND(I45*0.8,0)</f>
        <v>507560</v>
      </c>
    </row>
    <row r="37" spans="1:10" s="511" customFormat="1" ht="18" customHeight="1">
      <c r="A37" s="845"/>
      <c r="B37" s="843"/>
      <c r="C37" s="842"/>
      <c r="D37" s="843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32"/>
    </row>
    <row r="38" spans="1:10" s="511" customFormat="1" ht="18" customHeight="1">
      <c r="A38" s="845"/>
      <c r="B38" s="843"/>
      <c r="C38" s="842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32"/>
    </row>
    <row r="39" spans="1:10" s="511" customFormat="1" ht="18" customHeight="1">
      <c r="A39" s="845"/>
      <c r="B39" s="843"/>
      <c r="C39" s="831" t="s">
        <v>1406</v>
      </c>
      <c r="D39" s="831"/>
      <c r="E39" s="831"/>
      <c r="F39" s="378"/>
      <c r="G39" s="513"/>
      <c r="H39" s="575"/>
      <c r="I39" s="580">
        <f>SUM(I36:I38)</f>
        <v>549500</v>
      </c>
      <c r="J39" s="832"/>
    </row>
    <row r="40" spans="1:10" s="511" customFormat="1" ht="18" customHeight="1">
      <c r="A40" s="845"/>
      <c r="B40" s="843"/>
      <c r="C40" s="843" t="s">
        <v>1408</v>
      </c>
      <c r="D40" s="843"/>
      <c r="E40" s="843"/>
      <c r="F40" s="378"/>
      <c r="G40" s="389"/>
      <c r="H40" s="949">
        <v>0.1</v>
      </c>
      <c r="I40" s="943">
        <f>I39*H40</f>
        <v>54950</v>
      </c>
      <c r="J40" s="832"/>
    </row>
    <row r="41" spans="1:10" s="511" customFormat="1" ht="18" customHeight="1">
      <c r="A41" s="845"/>
      <c r="B41" s="843"/>
      <c r="C41" s="843" t="s">
        <v>1409</v>
      </c>
      <c r="D41" s="843"/>
      <c r="E41" s="843"/>
      <c r="F41" s="378"/>
      <c r="G41" s="389"/>
      <c r="H41" s="949"/>
      <c r="I41" s="944"/>
      <c r="J41" s="832"/>
    </row>
    <row r="42" spans="1:10" s="511" customFormat="1" ht="18" customHeight="1">
      <c r="A42" s="845"/>
      <c r="B42" s="843"/>
      <c r="C42" s="843" t="s">
        <v>1410</v>
      </c>
      <c r="D42" s="843"/>
      <c r="E42" s="843"/>
      <c r="F42" s="378"/>
      <c r="G42" s="389"/>
      <c r="H42" s="949"/>
      <c r="I42" s="945"/>
      <c r="J42" s="832"/>
    </row>
    <row r="43" spans="1:10" s="511" customFormat="1" ht="18" customHeight="1">
      <c r="A43" s="845"/>
      <c r="B43" s="843"/>
      <c r="C43" s="843" t="s">
        <v>1725</v>
      </c>
      <c r="D43" s="843"/>
      <c r="E43" s="843"/>
      <c r="F43" s="378"/>
      <c r="G43" s="389"/>
      <c r="H43" s="576"/>
      <c r="I43" s="384">
        <v>30000</v>
      </c>
      <c r="J43" s="832"/>
    </row>
    <row r="44" spans="1:10" s="511" customFormat="1" ht="18" customHeight="1">
      <c r="A44" s="845"/>
      <c r="B44" s="843"/>
      <c r="C44" s="831" t="s">
        <v>1418</v>
      </c>
      <c r="D44" s="831"/>
      <c r="E44" s="831"/>
      <c r="F44" s="505"/>
      <c r="G44" s="379"/>
      <c r="H44" s="560"/>
      <c r="I44" s="565">
        <f>SUM(I40:I43)</f>
        <v>84950</v>
      </c>
      <c r="J44" s="832"/>
    </row>
    <row r="45" spans="1:10" s="511" customFormat="1" ht="18" customHeight="1">
      <c r="A45" s="845"/>
      <c r="B45" s="843"/>
      <c r="C45" s="831" t="s">
        <v>24</v>
      </c>
      <c r="D45" s="831"/>
      <c r="E45" s="831"/>
      <c r="F45" s="378"/>
      <c r="G45" s="386"/>
      <c r="H45" s="574"/>
      <c r="I45" s="580">
        <f>I39+I44</f>
        <v>634450</v>
      </c>
      <c r="J45" s="832"/>
    </row>
    <row r="46" spans="1:10" s="511" customFormat="1" ht="18" customHeight="1">
      <c r="A46" s="845">
        <v>4</v>
      </c>
      <c r="B46" s="843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32">
        <f>ROUND(I52*0.8,0)</f>
        <v>789760</v>
      </c>
    </row>
    <row r="47" spans="1:10" s="511" customFormat="1" ht="18" customHeight="1">
      <c r="A47" s="845"/>
      <c r="B47" s="843"/>
      <c r="C47" s="831" t="s">
        <v>1406</v>
      </c>
      <c r="D47" s="831"/>
      <c r="E47" s="831"/>
      <c r="F47" s="378"/>
      <c r="G47" s="513"/>
      <c r="H47" s="575"/>
      <c r="I47" s="580">
        <f>SUM(I46:I46)</f>
        <v>899000</v>
      </c>
      <c r="J47" s="832"/>
    </row>
    <row r="48" spans="1:10" s="511" customFormat="1" ht="18" customHeight="1">
      <c r="A48" s="845"/>
      <c r="B48" s="843"/>
      <c r="C48" s="843" t="s">
        <v>1408</v>
      </c>
      <c r="D48" s="843"/>
      <c r="E48" s="843"/>
      <c r="F48" s="378"/>
      <c r="G48" s="386"/>
      <c r="H48" s="558"/>
      <c r="I48" s="583">
        <v>9300</v>
      </c>
      <c r="J48" s="832"/>
    </row>
    <row r="49" spans="1:10" s="511" customFormat="1" ht="18" customHeight="1">
      <c r="A49" s="845"/>
      <c r="B49" s="843"/>
      <c r="C49" s="843" t="s">
        <v>1409</v>
      </c>
      <c r="D49" s="843"/>
      <c r="E49" s="843"/>
      <c r="F49" s="378"/>
      <c r="G49" s="386"/>
      <c r="H49" s="577"/>
      <c r="I49" s="583">
        <v>41700</v>
      </c>
      <c r="J49" s="832"/>
    </row>
    <row r="50" spans="1:10" s="511" customFormat="1" ht="18" customHeight="1">
      <c r="A50" s="845"/>
      <c r="B50" s="843"/>
      <c r="C50" s="843" t="s">
        <v>1410</v>
      </c>
      <c r="D50" s="843"/>
      <c r="E50" s="843"/>
      <c r="F50" s="378"/>
      <c r="G50" s="386"/>
      <c r="H50" s="577"/>
      <c r="I50" s="583">
        <v>37200</v>
      </c>
      <c r="J50" s="832"/>
    </row>
    <row r="51" spans="1:10" s="511" customFormat="1" ht="18" customHeight="1">
      <c r="A51" s="845"/>
      <c r="B51" s="843"/>
      <c r="C51" s="831" t="s">
        <v>1418</v>
      </c>
      <c r="D51" s="831"/>
      <c r="E51" s="831"/>
      <c r="F51" s="505"/>
      <c r="G51" s="379"/>
      <c r="H51" s="560"/>
      <c r="I51" s="565">
        <f>SUM(I48:I50)</f>
        <v>88200</v>
      </c>
      <c r="J51" s="832"/>
    </row>
    <row r="52" spans="1:10" s="511" customFormat="1" ht="18" customHeight="1">
      <c r="A52" s="947"/>
      <c r="B52" s="852"/>
      <c r="C52" s="948" t="s">
        <v>24</v>
      </c>
      <c r="D52" s="948"/>
      <c r="E52" s="948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32"/>
    </row>
    <row r="53" spans="1:10" ht="18" customHeight="1">
      <c r="A53" s="515"/>
      <c r="B53" s="515"/>
      <c r="C53" s="939" t="s">
        <v>1540</v>
      </c>
      <c r="D53" s="939"/>
      <c r="E53" s="939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  <mergeCell ref="A36:A45"/>
    <mergeCell ref="B36:B45"/>
    <mergeCell ref="C36:C38"/>
    <mergeCell ref="D36:D37"/>
    <mergeCell ref="C39:E39"/>
    <mergeCell ref="C40:E40"/>
    <mergeCell ref="C45:E45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58" t="s">
        <v>1727</v>
      </c>
      <c r="B1" s="958"/>
      <c r="C1" s="958"/>
      <c r="D1" s="958"/>
      <c r="E1" s="958"/>
      <c r="F1" s="958"/>
      <c r="G1" s="959"/>
      <c r="H1" s="959"/>
      <c r="I1" s="959"/>
      <c r="J1" s="959"/>
      <c r="K1" s="960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62">
        <v>1</v>
      </c>
      <c r="B3" s="962" t="s">
        <v>267</v>
      </c>
      <c r="C3" s="962" t="s">
        <v>1728</v>
      </c>
      <c r="D3" s="963" t="s">
        <v>1722</v>
      </c>
      <c r="E3" s="964" t="s">
        <v>1729</v>
      </c>
      <c r="F3" s="957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38">
        <f>ROUND(J9*0.8,0)</f>
        <v>506099</v>
      </c>
    </row>
    <row r="4" spans="1:11" s="520" customFormat="1" ht="18" customHeight="1">
      <c r="A4" s="962"/>
      <c r="B4" s="962"/>
      <c r="C4" s="962"/>
      <c r="D4" s="963"/>
      <c r="E4" s="964"/>
      <c r="F4" s="957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32"/>
    </row>
    <row r="5" spans="1:11" ht="18" customHeight="1">
      <c r="A5" s="962"/>
      <c r="B5" s="962"/>
      <c r="C5" s="962"/>
      <c r="D5" s="963"/>
      <c r="E5" s="964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32"/>
    </row>
    <row r="6" spans="1:11" ht="18" customHeight="1">
      <c r="A6" s="962"/>
      <c r="B6" s="962"/>
      <c r="C6" s="962"/>
      <c r="D6" s="963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32"/>
    </row>
    <row r="7" spans="1:11" s="525" customFormat="1" ht="18" customHeight="1">
      <c r="A7" s="962"/>
      <c r="B7" s="962"/>
      <c r="C7" s="962"/>
      <c r="D7" s="963"/>
      <c r="E7" s="961" t="s">
        <v>1424</v>
      </c>
      <c r="F7" s="961"/>
      <c r="G7" s="523"/>
      <c r="H7" s="524"/>
      <c r="I7" s="524"/>
      <c r="J7" s="535">
        <f>SUM(J3:J6)</f>
        <v>547840</v>
      </c>
      <c r="K7" s="932"/>
    </row>
    <row r="8" spans="1:11" s="525" customFormat="1" ht="18" customHeight="1">
      <c r="A8" s="962"/>
      <c r="B8" s="962"/>
      <c r="C8" s="962"/>
      <c r="D8" s="963"/>
      <c r="E8" s="961" t="s">
        <v>1603</v>
      </c>
      <c r="F8" s="961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32"/>
    </row>
    <row r="9" spans="1:11" s="525" customFormat="1" ht="18" customHeight="1">
      <c r="A9" s="962"/>
      <c r="B9" s="962"/>
      <c r="C9" s="962"/>
      <c r="D9" s="963"/>
      <c r="E9" s="961" t="s">
        <v>1428</v>
      </c>
      <c r="F9" s="961"/>
      <c r="G9" s="523"/>
      <c r="H9" s="524"/>
      <c r="I9" s="524"/>
      <c r="J9" s="532">
        <f>J7+J8</f>
        <v>632624</v>
      </c>
      <c r="K9" s="932"/>
    </row>
    <row r="10" spans="1:11" ht="18" customHeight="1">
      <c r="A10" s="962">
        <v>2</v>
      </c>
      <c r="B10" s="962" t="s">
        <v>376</v>
      </c>
      <c r="C10" s="962" t="s">
        <v>1734</v>
      </c>
      <c r="D10" s="963" t="s">
        <v>1369</v>
      </c>
      <c r="E10" s="962" t="s">
        <v>1735</v>
      </c>
      <c r="F10" s="956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38">
        <f>ROUND(J26*0.8,0)</f>
        <v>1564939</v>
      </c>
    </row>
    <row r="11" spans="1:11" ht="18" customHeight="1">
      <c r="A11" s="962"/>
      <c r="B11" s="962"/>
      <c r="C11" s="962"/>
      <c r="D11" s="963"/>
      <c r="E11" s="962"/>
      <c r="F11" s="956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32"/>
    </row>
    <row r="12" spans="1:11" ht="18" customHeight="1">
      <c r="A12" s="962"/>
      <c r="B12" s="962"/>
      <c r="C12" s="962"/>
      <c r="D12" s="963"/>
      <c r="E12" s="962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32"/>
    </row>
    <row r="13" spans="1:11" ht="18" customHeight="1">
      <c r="A13" s="962"/>
      <c r="B13" s="962"/>
      <c r="C13" s="962"/>
      <c r="D13" s="963"/>
      <c r="E13" s="962" t="s">
        <v>1738</v>
      </c>
      <c r="F13" s="956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32"/>
    </row>
    <row r="14" spans="1:11" ht="18" customHeight="1">
      <c r="A14" s="962"/>
      <c r="B14" s="962"/>
      <c r="C14" s="962"/>
      <c r="D14" s="963"/>
      <c r="E14" s="962"/>
      <c r="F14" s="956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32"/>
    </row>
    <row r="15" spans="1:11" ht="18" customHeight="1">
      <c r="A15" s="962"/>
      <c r="B15" s="962"/>
      <c r="C15" s="962"/>
      <c r="D15" s="963"/>
      <c r="E15" s="962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32"/>
    </row>
    <row r="16" spans="1:11" ht="18" customHeight="1">
      <c r="A16" s="962"/>
      <c r="B16" s="962"/>
      <c r="C16" s="962"/>
      <c r="D16" s="963"/>
      <c r="E16" s="962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32"/>
    </row>
    <row r="17" spans="1:11" ht="18" customHeight="1">
      <c r="A17" s="962"/>
      <c r="B17" s="962"/>
      <c r="C17" s="962"/>
      <c r="D17" s="963"/>
      <c r="E17" s="962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32"/>
    </row>
    <row r="18" spans="1:11" ht="18" customHeight="1">
      <c r="A18" s="962"/>
      <c r="B18" s="962"/>
      <c r="C18" s="962"/>
      <c r="D18" s="963"/>
      <c r="E18" s="962" t="s">
        <v>1743</v>
      </c>
      <c r="F18" s="956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32"/>
    </row>
    <row r="19" spans="1:11" ht="18" customHeight="1">
      <c r="A19" s="962"/>
      <c r="B19" s="962"/>
      <c r="C19" s="962"/>
      <c r="D19" s="963"/>
      <c r="E19" s="962"/>
      <c r="F19" s="956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32"/>
    </row>
    <row r="20" spans="1:11" ht="18" customHeight="1">
      <c r="A20" s="962"/>
      <c r="B20" s="962"/>
      <c r="C20" s="962"/>
      <c r="D20" s="963"/>
      <c r="E20" s="962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32"/>
    </row>
    <row r="21" spans="1:11" ht="18" customHeight="1">
      <c r="A21" s="962"/>
      <c r="B21" s="962"/>
      <c r="C21" s="962"/>
      <c r="D21" s="963"/>
      <c r="E21" s="962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32"/>
    </row>
    <row r="22" spans="1:11" ht="18" customHeight="1">
      <c r="A22" s="962"/>
      <c r="B22" s="962"/>
      <c r="C22" s="962"/>
      <c r="D22" s="963"/>
      <c r="E22" s="962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32"/>
    </row>
    <row r="23" spans="1:11" ht="18" customHeight="1">
      <c r="A23" s="962"/>
      <c r="B23" s="962"/>
      <c r="C23" s="962"/>
      <c r="D23" s="963"/>
      <c r="E23" s="962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32"/>
    </row>
    <row r="24" spans="1:11" s="525" customFormat="1" ht="18" customHeight="1">
      <c r="A24" s="962"/>
      <c r="B24" s="962"/>
      <c r="C24" s="962"/>
      <c r="D24" s="963"/>
      <c r="E24" s="961" t="s">
        <v>1424</v>
      </c>
      <c r="F24" s="961"/>
      <c r="G24" s="523"/>
      <c r="H24" s="524"/>
      <c r="I24" s="524"/>
      <c r="J24" s="532">
        <f>SUM(J10:J23)</f>
        <v>1714704</v>
      </c>
      <c r="K24" s="932"/>
    </row>
    <row r="25" spans="1:11" s="525" customFormat="1" ht="18" customHeight="1">
      <c r="A25" s="962"/>
      <c r="B25" s="962"/>
      <c r="C25" s="962"/>
      <c r="D25" s="963"/>
      <c r="E25" s="961" t="s">
        <v>1603</v>
      </c>
      <c r="F25" s="961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32"/>
    </row>
    <row r="26" spans="1:11" s="525" customFormat="1" ht="18" customHeight="1">
      <c r="A26" s="962"/>
      <c r="B26" s="962"/>
      <c r="C26" s="962"/>
      <c r="D26" s="963"/>
      <c r="E26" s="961" t="s">
        <v>1428</v>
      </c>
      <c r="F26" s="961"/>
      <c r="G26" s="523"/>
      <c r="H26" s="524"/>
      <c r="I26" s="524"/>
      <c r="J26" s="532">
        <f>J24+J25</f>
        <v>1956174</v>
      </c>
      <c r="K26" s="932"/>
    </row>
    <row r="27" spans="1:11" ht="18" customHeight="1">
      <c r="A27" s="962">
        <v>3</v>
      </c>
      <c r="B27" s="962" t="s">
        <v>1749</v>
      </c>
      <c r="C27" s="962" t="s">
        <v>1750</v>
      </c>
      <c r="D27" s="963" t="s">
        <v>1369</v>
      </c>
      <c r="E27" s="962" t="s">
        <v>1614</v>
      </c>
      <c r="F27" s="956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38">
        <f>ROUND(J31*0.8,0)</f>
        <v>565485</v>
      </c>
    </row>
    <row r="28" spans="1:11" ht="18" customHeight="1">
      <c r="A28" s="962"/>
      <c r="B28" s="962"/>
      <c r="C28" s="962"/>
      <c r="D28" s="963"/>
      <c r="E28" s="962"/>
      <c r="F28" s="956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32"/>
    </row>
    <row r="29" spans="1:11" s="525" customFormat="1" ht="18" customHeight="1">
      <c r="A29" s="962"/>
      <c r="B29" s="962"/>
      <c r="C29" s="962"/>
      <c r="D29" s="963"/>
      <c r="E29" s="961" t="s">
        <v>1424</v>
      </c>
      <c r="F29" s="961"/>
      <c r="G29" s="523"/>
      <c r="H29" s="524"/>
      <c r="I29" s="524"/>
      <c r="J29" s="532">
        <f>SUM(J27:J28)</f>
        <v>615324</v>
      </c>
      <c r="K29" s="932"/>
    </row>
    <row r="30" spans="1:11" s="525" customFormat="1" ht="18" customHeight="1">
      <c r="A30" s="962"/>
      <c r="B30" s="962"/>
      <c r="C30" s="962"/>
      <c r="D30" s="963"/>
      <c r="E30" s="961" t="s">
        <v>1603</v>
      </c>
      <c r="F30" s="961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32"/>
    </row>
    <row r="31" spans="1:11" s="525" customFormat="1" ht="18" customHeight="1">
      <c r="A31" s="962"/>
      <c r="B31" s="962"/>
      <c r="C31" s="962"/>
      <c r="D31" s="963"/>
      <c r="E31" s="961" t="s">
        <v>1428</v>
      </c>
      <c r="F31" s="961"/>
      <c r="G31" s="523"/>
      <c r="H31" s="524"/>
      <c r="I31" s="524"/>
      <c r="J31" s="532">
        <f>J29+J30</f>
        <v>706856</v>
      </c>
      <c r="K31" s="932"/>
    </row>
    <row r="32" spans="1:11" ht="18" customHeight="1">
      <c r="A32" s="962">
        <v>4</v>
      </c>
      <c r="B32" s="962" t="s">
        <v>1751</v>
      </c>
      <c r="C32" s="962" t="s">
        <v>1752</v>
      </c>
      <c r="D32" s="963" t="s">
        <v>1369</v>
      </c>
      <c r="E32" s="962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38">
        <f>ROUND(J40*0.8,0)</f>
        <v>330806</v>
      </c>
    </row>
    <row r="33" spans="1:11" ht="18" customHeight="1">
      <c r="A33" s="962"/>
      <c r="B33" s="962"/>
      <c r="C33" s="962"/>
      <c r="D33" s="963"/>
      <c r="E33" s="962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38"/>
    </row>
    <row r="34" spans="1:11" ht="18" customHeight="1">
      <c r="A34" s="962"/>
      <c r="B34" s="962"/>
      <c r="C34" s="962"/>
      <c r="D34" s="963"/>
      <c r="E34" s="962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38"/>
    </row>
    <row r="35" spans="1:11" ht="18" customHeight="1">
      <c r="A35" s="962"/>
      <c r="B35" s="962"/>
      <c r="C35" s="962"/>
      <c r="D35" s="963"/>
      <c r="E35" s="962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38"/>
    </row>
    <row r="36" spans="1:11" ht="18" customHeight="1">
      <c r="A36" s="962"/>
      <c r="B36" s="962"/>
      <c r="C36" s="962"/>
      <c r="D36" s="963"/>
      <c r="E36" s="962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38"/>
    </row>
    <row r="37" spans="1:11" ht="18" customHeight="1">
      <c r="A37" s="962"/>
      <c r="B37" s="962"/>
      <c r="C37" s="962"/>
      <c r="D37" s="963"/>
      <c r="E37" s="962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38"/>
    </row>
    <row r="38" spans="1:11" ht="18" customHeight="1">
      <c r="A38" s="962"/>
      <c r="B38" s="962"/>
      <c r="C38" s="962"/>
      <c r="D38" s="963"/>
      <c r="E38" s="961" t="s">
        <v>1424</v>
      </c>
      <c r="F38" s="961"/>
      <c r="G38" s="528"/>
      <c r="H38" s="526"/>
      <c r="I38" s="526"/>
      <c r="J38" s="535">
        <f>SUM(J32:J37)</f>
        <v>375916</v>
      </c>
      <c r="K38" s="938"/>
    </row>
    <row r="39" spans="1:11" ht="18" customHeight="1">
      <c r="A39" s="962"/>
      <c r="B39" s="962"/>
      <c r="C39" s="962"/>
      <c r="D39" s="963"/>
      <c r="E39" s="961" t="s">
        <v>1603</v>
      </c>
      <c r="F39" s="961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38"/>
    </row>
    <row r="40" spans="1:11" ht="18" customHeight="1">
      <c r="A40" s="962"/>
      <c r="B40" s="962"/>
      <c r="C40" s="962"/>
      <c r="D40" s="963"/>
      <c r="E40" s="961" t="s">
        <v>1428</v>
      </c>
      <c r="F40" s="961"/>
      <c r="G40" s="528"/>
      <c r="H40" s="526"/>
      <c r="I40" s="526"/>
      <c r="J40" s="535">
        <f>J38+J39</f>
        <v>413508</v>
      </c>
      <c r="K40" s="938"/>
    </row>
    <row r="41" spans="1:11" ht="18" customHeight="1">
      <c r="A41" s="538"/>
      <c r="B41" s="538"/>
      <c r="C41" s="538"/>
      <c r="D41" s="538"/>
      <c r="E41" s="938" t="s">
        <v>1540</v>
      </c>
      <c r="F41" s="955"/>
      <c r="G41" s="490"/>
      <c r="H41" s="490"/>
      <c r="I41" s="490"/>
      <c r="J41" s="490"/>
      <c r="K41" s="488">
        <f>SUM(K3:K40)</f>
        <v>2967329</v>
      </c>
    </row>
  </sheetData>
  <mergeCells count="45">
    <mergeCell ref="A3:A9"/>
    <mergeCell ref="B3:B9"/>
    <mergeCell ref="C3:C9"/>
    <mergeCell ref="D3:D9"/>
    <mergeCell ref="E3:E5"/>
    <mergeCell ref="E7:F7"/>
    <mergeCell ref="E8:F8"/>
    <mergeCell ref="E9:F9"/>
    <mergeCell ref="A10:A26"/>
    <mergeCell ref="B10:B26"/>
    <mergeCell ref="C10:C26"/>
    <mergeCell ref="D10:D26"/>
    <mergeCell ref="E10:E12"/>
    <mergeCell ref="E13:E17"/>
    <mergeCell ref="E18:E23"/>
    <mergeCell ref="C27:C31"/>
    <mergeCell ref="D27:D31"/>
    <mergeCell ref="E27:E28"/>
    <mergeCell ref="F27:F28"/>
    <mergeCell ref="E29:F29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K3:K9"/>
    <mergeCell ref="K10:K26"/>
    <mergeCell ref="K27:K31"/>
    <mergeCell ref="K32:K40"/>
    <mergeCell ref="E41:F41"/>
    <mergeCell ref="F10:F11"/>
    <mergeCell ref="F13:F14"/>
    <mergeCell ref="F18:F19"/>
    <mergeCell ref="F3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65" t="s">
        <v>1802</v>
      </c>
      <c r="B1" s="966"/>
      <c r="C1" s="966"/>
      <c r="D1" s="966"/>
      <c r="E1" s="966"/>
      <c r="F1" s="966"/>
      <c r="G1" s="966"/>
      <c r="H1" s="966"/>
      <c r="I1" s="966"/>
      <c r="J1" s="966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67" t="s">
        <v>764</v>
      </c>
      <c r="B1" s="968"/>
      <c r="C1" s="968"/>
      <c r="D1" s="968"/>
      <c r="E1" s="968"/>
      <c r="F1" s="968"/>
      <c r="G1" s="968"/>
      <c r="H1" s="968"/>
      <c r="I1" s="968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69" t="s">
        <v>873</v>
      </c>
      <c r="B1" s="969"/>
      <c r="C1" s="969"/>
      <c r="D1" s="969"/>
      <c r="E1" s="969"/>
      <c r="F1" s="969"/>
      <c r="G1" s="969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981" t="s">
        <v>927</v>
      </c>
      <c r="B1" s="982"/>
      <c r="C1" s="982"/>
      <c r="D1" s="982"/>
      <c r="E1" s="982"/>
      <c r="F1" s="982"/>
      <c r="G1" s="982"/>
      <c r="H1" s="982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970" t="s">
        <v>946</v>
      </c>
      <c r="B7" s="973" t="s">
        <v>947</v>
      </c>
      <c r="C7" s="973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971" t="s">
        <v>946</v>
      </c>
      <c r="B8" s="974" t="s">
        <v>947</v>
      </c>
      <c r="C8" s="974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971" t="s">
        <v>946</v>
      </c>
      <c r="B9" s="974" t="s">
        <v>947</v>
      </c>
      <c r="C9" s="974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972" t="s">
        <v>946</v>
      </c>
      <c r="B10" s="975" t="s">
        <v>947</v>
      </c>
      <c r="C10" s="975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970" t="s">
        <v>961</v>
      </c>
      <c r="B18" s="973" t="s">
        <v>962</v>
      </c>
      <c r="C18" s="973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972" t="s">
        <v>961</v>
      </c>
      <c r="B19" s="975" t="s">
        <v>962</v>
      </c>
      <c r="C19" s="975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976" t="s">
        <v>970</v>
      </c>
      <c r="B24" s="980" t="s">
        <v>971</v>
      </c>
      <c r="C24" s="980" t="s">
        <v>937</v>
      </c>
      <c r="D24" s="980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978" t="s">
        <v>940</v>
      </c>
      <c r="J24" s="257"/>
    </row>
    <row r="25" spans="1:10" s="244" customFormat="1" ht="20.100000000000001" customHeight="1">
      <c r="A25" s="972" t="s">
        <v>970</v>
      </c>
      <c r="B25" s="975" t="s">
        <v>971</v>
      </c>
      <c r="C25" s="975"/>
      <c r="D25" s="975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979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970" t="s">
        <v>551</v>
      </c>
      <c r="B27" s="973" t="s">
        <v>971</v>
      </c>
      <c r="C27" s="973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970">
        <v>500000</v>
      </c>
      <c r="I27" s="258" t="s">
        <v>935</v>
      </c>
      <c r="J27" s="251"/>
    </row>
    <row r="28" spans="1:10" s="244" customFormat="1" ht="20.100000000000001" customHeight="1">
      <c r="A28" s="971"/>
      <c r="B28" s="974" t="s">
        <v>971</v>
      </c>
      <c r="C28" s="974"/>
      <c r="D28" s="241" t="s">
        <v>979</v>
      </c>
      <c r="E28" s="241" t="s">
        <v>980</v>
      </c>
      <c r="F28" s="240">
        <v>1</v>
      </c>
      <c r="G28" s="240">
        <v>350000</v>
      </c>
      <c r="H28" s="977"/>
      <c r="I28" s="259"/>
      <c r="J28" s="251"/>
    </row>
    <row r="29" spans="1:10" s="244" customFormat="1" ht="20.100000000000001" customHeight="1">
      <c r="A29" s="971"/>
      <c r="B29" s="974" t="s">
        <v>971</v>
      </c>
      <c r="C29" s="974"/>
      <c r="D29" s="241" t="s">
        <v>981</v>
      </c>
      <c r="E29" s="241" t="s">
        <v>982</v>
      </c>
      <c r="F29" s="240">
        <v>1</v>
      </c>
      <c r="G29" s="240">
        <v>202500</v>
      </c>
      <c r="H29" s="977"/>
      <c r="I29" s="259"/>
      <c r="J29" s="251"/>
    </row>
    <row r="30" spans="1:10" s="244" customFormat="1" ht="20.100000000000001" customHeight="1">
      <c r="A30" s="972"/>
      <c r="B30" s="975" t="s">
        <v>971</v>
      </c>
      <c r="C30" s="975"/>
      <c r="D30" s="241" t="s">
        <v>983</v>
      </c>
      <c r="E30" s="241" t="s">
        <v>984</v>
      </c>
      <c r="F30" s="240">
        <v>1</v>
      </c>
      <c r="G30" s="240">
        <v>300000</v>
      </c>
      <c r="H30" s="801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970" t="s">
        <v>986</v>
      </c>
      <c r="B33" s="973" t="s">
        <v>987</v>
      </c>
      <c r="C33" s="973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971" t="s">
        <v>986</v>
      </c>
      <c r="B34" s="974" t="s">
        <v>987</v>
      </c>
      <c r="C34" s="974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972" t="s">
        <v>986</v>
      </c>
      <c r="B35" s="975" t="s">
        <v>987</v>
      </c>
      <c r="C35" s="975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970" t="s">
        <v>993</v>
      </c>
      <c r="B40" s="973" t="s">
        <v>994</v>
      </c>
      <c r="C40" s="973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971" t="s">
        <v>993</v>
      </c>
      <c r="B41" s="974" t="s">
        <v>994</v>
      </c>
      <c r="C41" s="974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971" t="s">
        <v>993</v>
      </c>
      <c r="B42" s="974" t="s">
        <v>994</v>
      </c>
      <c r="C42" s="974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971" t="s">
        <v>993</v>
      </c>
      <c r="B43" s="974" t="s">
        <v>994</v>
      </c>
      <c r="C43" s="974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971" t="s">
        <v>993</v>
      </c>
      <c r="B44" s="974" t="s">
        <v>994</v>
      </c>
      <c r="C44" s="974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972" t="s">
        <v>993</v>
      </c>
      <c r="B45" s="975" t="s">
        <v>994</v>
      </c>
      <c r="C45" s="975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976" t="s">
        <v>1007</v>
      </c>
      <c r="B48" s="973" t="s">
        <v>1008</v>
      </c>
      <c r="C48" s="973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977"/>
      <c r="B49" s="974" t="s">
        <v>1008</v>
      </c>
      <c r="C49" s="974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977"/>
      <c r="B50" s="974" t="s">
        <v>1008</v>
      </c>
      <c r="C50" s="974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801"/>
      <c r="B51" s="975" t="s">
        <v>1008</v>
      </c>
      <c r="C51" s="975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1:H1"/>
    <mergeCell ref="A7:A10"/>
    <mergeCell ref="B7:B10"/>
    <mergeCell ref="C7:C10"/>
    <mergeCell ref="A18:A19"/>
    <mergeCell ref="B18:B19"/>
    <mergeCell ref="C18:C19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40:A45"/>
    <mergeCell ref="B40:B45"/>
    <mergeCell ref="C40:C45"/>
    <mergeCell ref="A48:A51"/>
    <mergeCell ref="B48:B51"/>
    <mergeCell ref="C48:C5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983" t="s">
        <v>688</v>
      </c>
      <c r="B1" s="983"/>
      <c r="C1" s="983"/>
      <c r="D1" s="983"/>
      <c r="E1" s="983"/>
      <c r="F1" s="983"/>
      <c r="G1" s="983"/>
      <c r="H1" s="983"/>
      <c r="I1" s="983"/>
      <c r="J1" s="983"/>
      <c r="K1" s="983"/>
      <c r="L1" s="983"/>
      <c r="M1" s="983"/>
      <c r="N1" s="983"/>
      <c r="O1" s="983"/>
      <c r="P1" s="983"/>
      <c r="Q1" s="983"/>
      <c r="R1" s="983"/>
      <c r="S1" s="983"/>
      <c r="T1" s="983"/>
      <c r="U1" s="983"/>
      <c r="V1" s="983"/>
      <c r="W1" s="983"/>
      <c r="X1" s="983"/>
      <c r="Y1" s="983"/>
      <c r="Z1" s="983"/>
      <c r="AA1" s="983"/>
      <c r="AB1" s="983"/>
      <c r="AC1" s="983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984" t="s">
        <v>1025</v>
      </c>
      <c r="B1" s="984"/>
      <c r="C1" s="984"/>
      <c r="D1" s="984"/>
      <c r="E1" s="984"/>
      <c r="F1" s="984"/>
      <c r="G1" s="984"/>
      <c r="H1" s="984"/>
      <c r="I1" s="984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985" t="s">
        <v>1326</v>
      </c>
      <c r="B1" s="986"/>
      <c r="C1" s="986"/>
      <c r="D1" s="986"/>
      <c r="E1" s="986"/>
      <c r="F1" s="986"/>
      <c r="G1" s="986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988" t="s">
        <v>1328</v>
      </c>
      <c r="B1" s="966"/>
      <c r="C1" s="966"/>
      <c r="D1" s="966"/>
      <c r="E1" s="966"/>
      <c r="F1" s="966"/>
      <c r="G1" s="966"/>
      <c r="H1" s="966"/>
      <c r="I1" s="966"/>
      <c r="J1" s="966"/>
      <c r="K1" s="966"/>
      <c r="L1" s="966"/>
      <c r="M1" s="966"/>
      <c r="N1" s="966"/>
      <c r="O1" s="966"/>
      <c r="P1" s="966"/>
      <c r="Q1" s="966"/>
      <c r="R1" s="966"/>
      <c r="S1" s="966"/>
      <c r="T1" s="966"/>
      <c r="U1" s="966"/>
      <c r="V1" s="966"/>
      <c r="W1" s="966"/>
      <c r="X1" s="966"/>
      <c r="Y1" s="966"/>
      <c r="Z1" s="966"/>
      <c r="AA1" s="966"/>
      <c r="AB1" s="966"/>
      <c r="AC1" s="966"/>
      <c r="AD1" s="966"/>
      <c r="AE1" s="966"/>
      <c r="AF1" s="966"/>
      <c r="AG1" s="966"/>
      <c r="AH1" s="966"/>
      <c r="AI1" s="966"/>
      <c r="AJ1" s="966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989" t="s">
        <v>1336</v>
      </c>
      <c r="J2" s="989"/>
      <c r="K2" s="989"/>
      <c r="L2" s="989" t="s">
        <v>1337</v>
      </c>
      <c r="M2" s="989"/>
      <c r="N2" s="989"/>
      <c r="O2" s="989" t="s">
        <v>1338</v>
      </c>
      <c r="P2" s="989"/>
      <c r="Q2" s="989"/>
      <c r="R2" s="989" t="s">
        <v>1339</v>
      </c>
      <c r="S2" s="989"/>
      <c r="T2" s="989"/>
      <c r="U2" s="989" t="s">
        <v>1340</v>
      </c>
      <c r="V2" s="989"/>
      <c r="W2" s="989"/>
      <c r="X2" s="989" t="s">
        <v>1341</v>
      </c>
      <c r="Y2" s="989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987" t="s">
        <v>1360</v>
      </c>
      <c r="T45" s="987"/>
      <c r="U45" s="987"/>
      <c r="V45" s="987"/>
      <c r="W45" s="987"/>
      <c r="X45" s="987"/>
      <c r="Y45" s="987"/>
    </row>
    <row r="46" spans="1:36">
      <c r="S46" s="987">
        <v>42984</v>
      </c>
      <c r="T46" s="987"/>
      <c r="U46" s="987"/>
      <c r="V46" s="987"/>
      <c r="W46" s="987"/>
      <c r="X46" s="987"/>
      <c r="Y46" s="987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990" t="s">
        <v>1841</v>
      </c>
      <c r="B1" s="990"/>
      <c r="C1" s="990"/>
      <c r="D1" s="990"/>
      <c r="E1" s="990"/>
      <c r="F1" s="990"/>
      <c r="G1" s="990"/>
      <c r="H1" s="990"/>
      <c r="I1" s="990"/>
      <c r="J1" s="991"/>
      <c r="K1" s="991"/>
      <c r="L1" s="991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992" t="s">
        <v>1842</v>
      </c>
      <c r="B1" s="993"/>
      <c r="C1" s="993"/>
      <c r="D1" s="993"/>
      <c r="E1" s="993"/>
      <c r="F1" s="993"/>
      <c r="G1" s="994"/>
      <c r="H1" s="993"/>
      <c r="I1" s="994"/>
      <c r="J1" s="993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995" t="s">
        <v>2165</v>
      </c>
      <c r="B1" s="995"/>
      <c r="C1" s="995"/>
      <c r="D1" s="995"/>
      <c r="E1" s="995"/>
      <c r="F1" s="995"/>
      <c r="G1" s="995"/>
      <c r="H1" s="995"/>
      <c r="I1" s="995"/>
      <c r="J1" s="995"/>
      <c r="K1" s="995"/>
      <c r="L1" s="995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1004" t="s">
        <v>1910</v>
      </c>
      <c r="B1" s="1004"/>
      <c r="C1" s="1004"/>
      <c r="D1" s="1004"/>
      <c r="E1" s="1004"/>
      <c r="F1" s="1004"/>
      <c r="G1" s="1004"/>
      <c r="H1" s="1004"/>
      <c r="I1" s="1004"/>
      <c r="J1" s="1004"/>
      <c r="K1" s="1005"/>
    </row>
    <row r="2" spans="1:11" ht="20.100000000000001" customHeight="1">
      <c r="A2" s="1006" t="s">
        <v>2</v>
      </c>
      <c r="B2" s="1007" t="s">
        <v>1589</v>
      </c>
      <c r="C2" s="1006" t="s">
        <v>1419</v>
      </c>
      <c r="D2" s="1006"/>
      <c r="E2" s="1006" t="s">
        <v>1365</v>
      </c>
      <c r="F2" s="1006"/>
      <c r="G2" s="1009" t="s">
        <v>1911</v>
      </c>
      <c r="H2" s="1009"/>
      <c r="I2" s="1009"/>
      <c r="J2" s="1009"/>
      <c r="K2" s="1010" t="s">
        <v>1912</v>
      </c>
    </row>
    <row r="3" spans="1:11" ht="20.100000000000001" customHeight="1">
      <c r="A3" s="1006"/>
      <c r="B3" s="1008"/>
      <c r="C3" s="1006"/>
      <c r="D3" s="1006"/>
      <c r="E3" s="1006"/>
      <c r="F3" s="1006"/>
      <c r="G3" s="640" t="s">
        <v>533</v>
      </c>
      <c r="H3" s="641" t="s">
        <v>1366</v>
      </c>
      <c r="I3" s="641" t="s">
        <v>695</v>
      </c>
      <c r="J3" s="641" t="s">
        <v>696</v>
      </c>
      <c r="K3" s="1011"/>
    </row>
    <row r="4" spans="1:11" s="649" customFormat="1" ht="20.100000000000001" customHeight="1">
      <c r="A4" s="999" t="s">
        <v>1913</v>
      </c>
      <c r="B4" s="1022" t="s">
        <v>1914</v>
      </c>
      <c r="C4" s="999" t="s">
        <v>1459</v>
      </c>
      <c r="D4" s="999"/>
      <c r="E4" s="999" t="s">
        <v>1915</v>
      </c>
      <c r="F4" s="999"/>
      <c r="G4" s="645" t="s">
        <v>1372</v>
      </c>
      <c r="H4" s="646">
        <v>2300</v>
      </c>
      <c r="I4" s="647">
        <v>210</v>
      </c>
      <c r="J4" s="648">
        <f>H4*I4</f>
        <v>483000</v>
      </c>
      <c r="K4" s="996">
        <f>ROUND(J192*0.8,0)</f>
        <v>4303484</v>
      </c>
    </row>
    <row r="5" spans="1:11" s="649" customFormat="1" ht="20.100000000000001" customHeight="1">
      <c r="A5" s="999"/>
      <c r="B5" s="1023"/>
      <c r="C5" s="999"/>
      <c r="D5" s="999"/>
      <c r="E5" s="999" t="s">
        <v>1916</v>
      </c>
      <c r="F5" s="999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997"/>
    </row>
    <row r="6" spans="1:11" s="649" customFormat="1" ht="20.100000000000001" customHeight="1">
      <c r="A6" s="999"/>
      <c r="B6" s="1023"/>
      <c r="C6" s="999"/>
      <c r="D6" s="999"/>
      <c r="E6" s="999" t="s">
        <v>1917</v>
      </c>
      <c r="F6" s="999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997"/>
    </row>
    <row r="7" spans="1:11" s="649" customFormat="1" ht="20.100000000000001" customHeight="1">
      <c r="A7" s="999"/>
      <c r="B7" s="1023"/>
      <c r="C7" s="999"/>
      <c r="D7" s="999"/>
      <c r="E7" s="999" t="s">
        <v>1918</v>
      </c>
      <c r="F7" s="999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997"/>
    </row>
    <row r="8" spans="1:11" s="649" customFormat="1" ht="20.100000000000001" customHeight="1">
      <c r="A8" s="999"/>
      <c r="B8" s="1023"/>
      <c r="C8" s="999"/>
      <c r="D8" s="999"/>
      <c r="E8" s="1000" t="s">
        <v>1919</v>
      </c>
      <c r="F8" s="1001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997"/>
    </row>
    <row r="9" spans="1:11" s="649" customFormat="1" ht="20.100000000000001" customHeight="1">
      <c r="A9" s="999"/>
      <c r="B9" s="1023"/>
      <c r="C9" s="999"/>
      <c r="D9" s="999"/>
      <c r="E9" s="1002"/>
      <c r="F9" s="1003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997"/>
    </row>
    <row r="10" spans="1:11" s="649" customFormat="1" ht="20.100000000000001" customHeight="1">
      <c r="A10" s="999"/>
      <c r="B10" s="1023"/>
      <c r="C10" s="999"/>
      <c r="D10" s="999"/>
      <c r="E10" s="999" t="s">
        <v>1920</v>
      </c>
      <c r="F10" s="999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997"/>
    </row>
    <row r="11" spans="1:11" s="649" customFormat="1" ht="20.100000000000001" customHeight="1">
      <c r="A11" s="999"/>
      <c r="B11" s="1023"/>
      <c r="C11" s="999"/>
      <c r="D11" s="999"/>
      <c r="E11" s="1000" t="s">
        <v>1921</v>
      </c>
      <c r="F11" s="1001"/>
      <c r="G11" s="1014" t="s">
        <v>1372</v>
      </c>
      <c r="H11" s="1016">
        <v>4385</v>
      </c>
      <c r="I11" s="1018">
        <v>12.7</v>
      </c>
      <c r="J11" s="1020">
        <f t="shared" si="1"/>
        <v>55689.5</v>
      </c>
      <c r="K11" s="997"/>
    </row>
    <row r="12" spans="1:11" s="649" customFormat="1" ht="20.100000000000001" customHeight="1">
      <c r="A12" s="999"/>
      <c r="B12" s="1023"/>
      <c r="C12" s="999"/>
      <c r="D12" s="999"/>
      <c r="E12" s="1012"/>
      <c r="F12" s="1013"/>
      <c r="G12" s="1015"/>
      <c r="H12" s="1017"/>
      <c r="I12" s="1019"/>
      <c r="J12" s="1021"/>
      <c r="K12" s="997"/>
    </row>
    <row r="13" spans="1:11" s="649" customFormat="1" ht="20.100000000000001" customHeight="1">
      <c r="A13" s="999"/>
      <c r="B13" s="1023"/>
      <c r="C13" s="999"/>
      <c r="D13" s="999"/>
      <c r="E13" s="1012"/>
      <c r="F13" s="1013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997"/>
    </row>
    <row r="14" spans="1:11" s="649" customFormat="1" ht="20.100000000000001" customHeight="1">
      <c r="A14" s="999"/>
      <c r="B14" s="1023"/>
      <c r="C14" s="999"/>
      <c r="D14" s="999"/>
      <c r="E14" s="1012"/>
      <c r="F14" s="1013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997"/>
    </row>
    <row r="15" spans="1:11" s="649" customFormat="1" ht="20.100000000000001" customHeight="1">
      <c r="A15" s="999"/>
      <c r="B15" s="1023"/>
      <c r="C15" s="999"/>
      <c r="D15" s="999"/>
      <c r="E15" s="1012"/>
      <c r="F15" s="1013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997"/>
    </row>
    <row r="16" spans="1:11" s="649" customFormat="1" ht="20.100000000000001" customHeight="1">
      <c r="A16" s="999"/>
      <c r="B16" s="1023"/>
      <c r="C16" s="999"/>
      <c r="D16" s="999"/>
      <c r="E16" s="1012"/>
      <c r="F16" s="1013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997"/>
    </row>
    <row r="17" spans="1:12" s="649" customFormat="1" ht="20.100000000000001" customHeight="1">
      <c r="A17" s="999"/>
      <c r="B17" s="1023"/>
      <c r="C17" s="999"/>
      <c r="D17" s="999"/>
      <c r="E17" s="1012"/>
      <c r="F17" s="1013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997"/>
    </row>
    <row r="18" spans="1:12" s="649" customFormat="1" ht="20.100000000000001" customHeight="1">
      <c r="A18" s="999"/>
      <c r="B18" s="1023"/>
      <c r="C18" s="999"/>
      <c r="D18" s="999"/>
      <c r="E18" s="1012"/>
      <c r="F18" s="1013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997"/>
    </row>
    <row r="19" spans="1:12" s="649" customFormat="1" ht="20.100000000000001" customHeight="1">
      <c r="A19" s="999"/>
      <c r="B19" s="1023"/>
      <c r="C19" s="999"/>
      <c r="D19" s="999"/>
      <c r="E19" s="1012"/>
      <c r="F19" s="1013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997"/>
    </row>
    <row r="20" spans="1:12" s="649" customFormat="1" ht="20.100000000000001" customHeight="1">
      <c r="A20" s="999"/>
      <c r="B20" s="1023"/>
      <c r="C20" s="999"/>
      <c r="D20" s="999"/>
      <c r="E20" s="1012"/>
      <c r="F20" s="1013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997"/>
    </row>
    <row r="21" spans="1:12" s="649" customFormat="1" ht="20.100000000000001" customHeight="1">
      <c r="A21" s="999"/>
      <c r="B21" s="1023"/>
      <c r="C21" s="999"/>
      <c r="D21" s="999"/>
      <c r="E21" s="1012"/>
      <c r="F21" s="1013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997"/>
    </row>
    <row r="22" spans="1:12" s="649" customFormat="1" ht="20.100000000000001" customHeight="1">
      <c r="A22" s="999"/>
      <c r="B22" s="1023"/>
      <c r="C22" s="999"/>
      <c r="D22" s="999"/>
      <c r="E22" s="1002"/>
      <c r="F22" s="1003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997"/>
    </row>
    <row r="23" spans="1:12" s="649" customFormat="1" ht="20.100000000000001" customHeight="1">
      <c r="A23" s="999"/>
      <c r="B23" s="1023"/>
      <c r="C23" s="999"/>
      <c r="D23" s="999"/>
      <c r="E23" s="999" t="s">
        <v>1923</v>
      </c>
      <c r="F23" s="999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997"/>
    </row>
    <row r="24" spans="1:12" s="649" customFormat="1" ht="20.100000000000001" customHeight="1">
      <c r="A24" s="999"/>
      <c r="B24" s="1023"/>
      <c r="C24" s="999"/>
      <c r="D24" s="999"/>
      <c r="E24" s="999" t="s">
        <v>1924</v>
      </c>
      <c r="F24" s="999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997"/>
    </row>
    <row r="25" spans="1:12" s="649" customFormat="1" ht="20.100000000000001" customHeight="1">
      <c r="A25" s="999"/>
      <c r="B25" s="1023"/>
      <c r="C25" s="1025" t="s">
        <v>24</v>
      </c>
      <c r="D25" s="1025"/>
      <c r="E25" s="1025"/>
      <c r="F25" s="1025"/>
      <c r="G25" s="651"/>
      <c r="H25" s="652"/>
      <c r="I25" s="651"/>
      <c r="J25" s="653">
        <f>SUM(J4:J24)</f>
        <v>2401619.5</v>
      </c>
      <c r="K25" s="997"/>
      <c r="L25" s="654"/>
    </row>
    <row r="26" spans="1:12" s="649" customFormat="1" ht="20.100000000000001" customHeight="1">
      <c r="A26" s="999"/>
      <c r="B26" s="1023"/>
      <c r="C26" s="1022" t="s">
        <v>1925</v>
      </c>
      <c r="D26" s="1022" t="s">
        <v>1926</v>
      </c>
      <c r="E26" s="999" t="s">
        <v>1927</v>
      </c>
      <c r="F26" s="999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997"/>
    </row>
    <row r="27" spans="1:12" s="649" customFormat="1" ht="20.100000000000001" customHeight="1">
      <c r="A27" s="999"/>
      <c r="B27" s="1023"/>
      <c r="C27" s="1023"/>
      <c r="D27" s="1023"/>
      <c r="E27" s="999" t="s">
        <v>1928</v>
      </c>
      <c r="F27" s="999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997"/>
    </row>
    <row r="28" spans="1:12" s="649" customFormat="1" ht="20.100000000000001" customHeight="1">
      <c r="A28" s="999"/>
      <c r="B28" s="1023"/>
      <c r="C28" s="1023"/>
      <c r="D28" s="1023"/>
      <c r="E28" s="999" t="s">
        <v>1929</v>
      </c>
      <c r="F28" s="999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997"/>
    </row>
    <row r="29" spans="1:12" s="649" customFormat="1" ht="20.100000000000001" customHeight="1">
      <c r="A29" s="999"/>
      <c r="B29" s="1023"/>
      <c r="C29" s="1023"/>
      <c r="D29" s="1023"/>
      <c r="E29" s="999" t="s">
        <v>1930</v>
      </c>
      <c r="F29" s="999"/>
      <c r="G29" s="645" t="s">
        <v>1372</v>
      </c>
      <c r="H29" s="646">
        <v>6</v>
      </c>
      <c r="I29" s="647">
        <v>180</v>
      </c>
      <c r="J29" s="648">
        <f>H29*I29</f>
        <v>1080</v>
      </c>
      <c r="K29" s="997"/>
    </row>
    <row r="30" spans="1:12" s="649" customFormat="1" ht="20.100000000000001" customHeight="1">
      <c r="A30" s="999"/>
      <c r="B30" s="1023"/>
      <c r="C30" s="1023"/>
      <c r="D30" s="1023"/>
      <c r="E30" s="999" t="s">
        <v>1931</v>
      </c>
      <c r="F30" s="999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997"/>
    </row>
    <row r="31" spans="1:12" s="649" customFormat="1" ht="20.100000000000001" customHeight="1">
      <c r="A31" s="999"/>
      <c r="B31" s="1023"/>
      <c r="C31" s="1023"/>
      <c r="D31" s="1023"/>
      <c r="E31" s="999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997"/>
    </row>
    <row r="32" spans="1:12" s="649" customFormat="1" ht="20.100000000000001" customHeight="1">
      <c r="A32" s="999"/>
      <c r="B32" s="1023"/>
      <c r="C32" s="1023"/>
      <c r="D32" s="1023"/>
      <c r="E32" s="999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997"/>
    </row>
    <row r="33" spans="1:12" s="649" customFormat="1" ht="20.100000000000001" customHeight="1">
      <c r="A33" s="999"/>
      <c r="B33" s="1023"/>
      <c r="C33" s="1023"/>
      <c r="D33" s="1023"/>
      <c r="E33" s="1000" t="s">
        <v>1935</v>
      </c>
      <c r="F33" s="1001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997"/>
    </row>
    <row r="34" spans="1:12" s="649" customFormat="1" ht="20.100000000000001" customHeight="1">
      <c r="A34" s="999"/>
      <c r="B34" s="1023"/>
      <c r="C34" s="1023"/>
      <c r="D34" s="1024"/>
      <c r="E34" s="1002"/>
      <c r="F34" s="1003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997"/>
    </row>
    <row r="35" spans="1:12" s="649" customFormat="1" ht="20.100000000000001" customHeight="1">
      <c r="A35" s="999"/>
      <c r="B35" s="1023"/>
      <c r="C35" s="1023"/>
      <c r="D35" s="1022" t="s">
        <v>1936</v>
      </c>
      <c r="E35" s="999" t="s">
        <v>1937</v>
      </c>
      <c r="F35" s="999"/>
      <c r="G35" s="645" t="s">
        <v>1372</v>
      </c>
      <c r="H35" s="646">
        <v>11</v>
      </c>
      <c r="I35" s="647">
        <v>600</v>
      </c>
      <c r="J35" s="648">
        <f>H35*I35</f>
        <v>6600</v>
      </c>
      <c r="K35" s="997"/>
    </row>
    <row r="36" spans="1:12" s="649" customFormat="1" ht="20.100000000000001" customHeight="1">
      <c r="A36" s="999"/>
      <c r="B36" s="1023"/>
      <c r="C36" s="1023"/>
      <c r="D36" s="1023"/>
      <c r="E36" s="999" t="s">
        <v>1928</v>
      </c>
      <c r="F36" s="999"/>
      <c r="G36" s="645" t="s">
        <v>1372</v>
      </c>
      <c r="H36" s="646">
        <v>40</v>
      </c>
      <c r="I36" s="647">
        <v>45</v>
      </c>
      <c r="J36" s="648">
        <f>H36*I36</f>
        <v>1800</v>
      </c>
      <c r="K36" s="997"/>
    </row>
    <row r="37" spans="1:12" s="649" customFormat="1" ht="20.100000000000001" customHeight="1">
      <c r="A37" s="999"/>
      <c r="B37" s="1023"/>
      <c r="C37" s="1023"/>
      <c r="D37" s="1023"/>
      <c r="E37" s="999" t="s">
        <v>1929</v>
      </c>
      <c r="F37" s="999"/>
      <c r="G37" s="645" t="s">
        <v>1372</v>
      </c>
      <c r="H37" s="646">
        <v>20</v>
      </c>
      <c r="I37" s="647">
        <v>45</v>
      </c>
      <c r="J37" s="648">
        <f>H37*I37</f>
        <v>900</v>
      </c>
      <c r="K37" s="997"/>
    </row>
    <row r="38" spans="1:12" s="649" customFormat="1" ht="20.100000000000001" customHeight="1">
      <c r="A38" s="999"/>
      <c r="B38" s="1023"/>
      <c r="C38" s="1024"/>
      <c r="D38" s="1024"/>
      <c r="E38" s="999" t="s">
        <v>1938</v>
      </c>
      <c r="F38" s="999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997"/>
    </row>
    <row r="39" spans="1:12" s="649" customFormat="1" ht="20.100000000000001" customHeight="1">
      <c r="A39" s="999"/>
      <c r="B39" s="1023"/>
      <c r="C39" s="1025" t="s">
        <v>24</v>
      </c>
      <c r="D39" s="1025"/>
      <c r="E39" s="1025"/>
      <c r="F39" s="1025"/>
      <c r="G39" s="651"/>
      <c r="H39" s="652"/>
      <c r="I39" s="651"/>
      <c r="J39" s="653">
        <f>SUM(J26:J38)</f>
        <v>63630</v>
      </c>
      <c r="K39" s="997"/>
      <c r="L39" s="654"/>
    </row>
    <row r="40" spans="1:12" s="649" customFormat="1" ht="20.100000000000001" customHeight="1">
      <c r="A40" s="999"/>
      <c r="B40" s="1023"/>
      <c r="C40" s="1000" t="s">
        <v>1455</v>
      </c>
      <c r="D40" s="1001"/>
      <c r="E40" s="999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997"/>
    </row>
    <row r="41" spans="1:12" s="649" customFormat="1" ht="20.100000000000001" customHeight="1">
      <c r="A41" s="999"/>
      <c r="B41" s="1023"/>
      <c r="C41" s="1012"/>
      <c r="D41" s="1013"/>
      <c r="E41" s="999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997"/>
    </row>
    <row r="42" spans="1:12" s="649" customFormat="1" ht="20.100000000000001" customHeight="1">
      <c r="A42" s="999"/>
      <c r="B42" s="1023"/>
      <c r="C42" s="1012"/>
      <c r="D42" s="1013"/>
      <c r="E42" s="999" t="s">
        <v>1942</v>
      </c>
      <c r="F42" s="650" t="s">
        <v>1943</v>
      </c>
      <c r="G42" s="1014" t="s">
        <v>1376</v>
      </c>
      <c r="H42" s="1016">
        <v>1</v>
      </c>
      <c r="I42" s="1026">
        <v>30000</v>
      </c>
      <c r="J42" s="1020">
        <f t="shared" si="0"/>
        <v>30000</v>
      </c>
      <c r="K42" s="997"/>
    </row>
    <row r="43" spans="1:12" s="649" customFormat="1" ht="20.100000000000001" customHeight="1">
      <c r="A43" s="999"/>
      <c r="B43" s="1023"/>
      <c r="C43" s="1012"/>
      <c r="D43" s="1013"/>
      <c r="E43" s="999"/>
      <c r="F43" s="650" t="s">
        <v>1944</v>
      </c>
      <c r="G43" s="1030"/>
      <c r="H43" s="1031"/>
      <c r="I43" s="1027"/>
      <c r="J43" s="1029"/>
      <c r="K43" s="997"/>
    </row>
    <row r="44" spans="1:12" s="649" customFormat="1" ht="20.100000000000001" customHeight="1">
      <c r="A44" s="999"/>
      <c r="B44" s="1023"/>
      <c r="C44" s="1012"/>
      <c r="D44" s="1013"/>
      <c r="E44" s="999"/>
      <c r="F44" s="650" t="s">
        <v>1945</v>
      </c>
      <c r="G44" s="1015"/>
      <c r="H44" s="1017"/>
      <c r="I44" s="1028"/>
      <c r="J44" s="1021"/>
      <c r="K44" s="997"/>
    </row>
    <row r="45" spans="1:12" s="649" customFormat="1" ht="20.100000000000001" customHeight="1">
      <c r="A45" s="999"/>
      <c r="B45" s="1023"/>
      <c r="C45" s="1012"/>
      <c r="D45" s="1013"/>
      <c r="E45" s="999" t="s">
        <v>1946</v>
      </c>
      <c r="F45" s="999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997"/>
    </row>
    <row r="46" spans="1:12" s="649" customFormat="1" ht="20.100000000000001" customHeight="1">
      <c r="A46" s="999"/>
      <c r="B46" s="1023"/>
      <c r="C46" s="1012"/>
      <c r="D46" s="1013"/>
      <c r="E46" s="999" t="s">
        <v>1947</v>
      </c>
      <c r="F46" s="999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997"/>
    </row>
    <row r="47" spans="1:12" s="649" customFormat="1" ht="20.100000000000001" customHeight="1">
      <c r="A47" s="999"/>
      <c r="B47" s="1023"/>
      <c r="C47" s="1012"/>
      <c r="D47" s="1013"/>
      <c r="E47" s="999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997"/>
    </row>
    <row r="48" spans="1:12" s="649" customFormat="1" ht="20.100000000000001" customHeight="1">
      <c r="A48" s="999"/>
      <c r="B48" s="1023"/>
      <c r="C48" s="1012"/>
      <c r="D48" s="1013"/>
      <c r="E48" s="999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997"/>
    </row>
    <row r="49" spans="1:12" s="649" customFormat="1" ht="20.100000000000001" customHeight="1">
      <c r="A49" s="999"/>
      <c r="B49" s="1023"/>
      <c r="C49" s="1012"/>
      <c r="D49" s="1013"/>
      <c r="E49" s="999" t="s">
        <v>1951</v>
      </c>
      <c r="F49" s="999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997"/>
    </row>
    <row r="50" spans="1:12" s="649" customFormat="1" ht="20.100000000000001" customHeight="1">
      <c r="A50" s="999"/>
      <c r="B50" s="1023"/>
      <c r="C50" s="1012"/>
      <c r="D50" s="1013"/>
      <c r="E50" s="999" t="s">
        <v>1952</v>
      </c>
      <c r="F50" s="999"/>
      <c r="G50" s="645" t="s">
        <v>1372</v>
      </c>
      <c r="H50" s="1016">
        <v>220</v>
      </c>
      <c r="I50" s="1026">
        <v>200</v>
      </c>
      <c r="J50" s="1020">
        <f t="shared" si="0"/>
        <v>44000</v>
      </c>
      <c r="K50" s="997"/>
    </row>
    <row r="51" spans="1:12" s="649" customFormat="1" ht="20.100000000000001" customHeight="1">
      <c r="A51" s="999"/>
      <c r="B51" s="1023"/>
      <c r="C51" s="1012"/>
      <c r="D51" s="1013"/>
      <c r="E51" s="999" t="s">
        <v>1953</v>
      </c>
      <c r="F51" s="999"/>
      <c r="G51" s="645" t="s">
        <v>1372</v>
      </c>
      <c r="H51" s="1017"/>
      <c r="I51" s="1028"/>
      <c r="J51" s="1021"/>
      <c r="K51" s="997"/>
    </row>
    <row r="52" spans="1:12" s="649" customFormat="1" ht="20.100000000000001" customHeight="1">
      <c r="A52" s="999"/>
      <c r="B52" s="1023"/>
      <c r="C52" s="1012"/>
      <c r="D52" s="1013"/>
      <c r="E52" s="1000" t="s">
        <v>1954</v>
      </c>
      <c r="F52" s="1001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997"/>
    </row>
    <row r="53" spans="1:12" s="649" customFormat="1" ht="20.100000000000001" customHeight="1">
      <c r="A53" s="999"/>
      <c r="B53" s="1023"/>
      <c r="C53" s="1002"/>
      <c r="D53" s="1003"/>
      <c r="E53" s="1002"/>
      <c r="F53" s="1003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997"/>
    </row>
    <row r="54" spans="1:12" s="649" customFormat="1" ht="20.100000000000001" customHeight="1">
      <c r="A54" s="999"/>
      <c r="B54" s="1023"/>
      <c r="C54" s="1025" t="s">
        <v>24</v>
      </c>
      <c r="D54" s="1025"/>
      <c r="E54" s="1025"/>
      <c r="F54" s="1025"/>
      <c r="G54" s="651"/>
      <c r="H54" s="652"/>
      <c r="I54" s="651"/>
      <c r="J54" s="653">
        <f>SUM(J40:J53)</f>
        <v>279650</v>
      </c>
      <c r="K54" s="997"/>
      <c r="L54" s="654"/>
    </row>
    <row r="55" spans="1:12" s="649" customFormat="1" ht="20.100000000000001" customHeight="1">
      <c r="A55" s="999"/>
      <c r="B55" s="1023"/>
      <c r="C55" s="999" t="s">
        <v>1565</v>
      </c>
      <c r="D55" s="999"/>
      <c r="E55" s="999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997"/>
    </row>
    <row r="56" spans="1:12" s="649" customFormat="1" ht="20.100000000000001" customHeight="1">
      <c r="A56" s="999"/>
      <c r="B56" s="1023"/>
      <c r="C56" s="999"/>
      <c r="D56" s="999"/>
      <c r="E56" s="999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997"/>
    </row>
    <row r="57" spans="1:12" s="649" customFormat="1" ht="20.100000000000001" customHeight="1">
      <c r="A57" s="999"/>
      <c r="B57" s="1023"/>
      <c r="C57" s="999"/>
      <c r="D57" s="999"/>
      <c r="E57" s="999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997"/>
    </row>
    <row r="58" spans="1:12" s="649" customFormat="1" ht="20.100000000000001" customHeight="1">
      <c r="A58" s="999"/>
      <c r="B58" s="1023"/>
      <c r="C58" s="999"/>
      <c r="D58" s="999"/>
      <c r="E58" s="999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997"/>
    </row>
    <row r="59" spans="1:12" s="649" customFormat="1" ht="20.100000000000001" customHeight="1">
      <c r="A59" s="999"/>
      <c r="B59" s="1023"/>
      <c r="C59" s="999"/>
      <c r="D59" s="999"/>
      <c r="E59" s="999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997"/>
    </row>
    <row r="60" spans="1:12" s="649" customFormat="1" ht="20.100000000000001" customHeight="1">
      <c r="A60" s="999"/>
      <c r="B60" s="1023"/>
      <c r="C60" s="999"/>
      <c r="D60" s="999"/>
      <c r="E60" s="999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997"/>
    </row>
    <row r="61" spans="1:12" s="649" customFormat="1" ht="20.100000000000001" customHeight="1">
      <c r="A61" s="999"/>
      <c r="B61" s="1023"/>
      <c r="C61" s="999"/>
      <c r="D61" s="999"/>
      <c r="E61" s="999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997"/>
    </row>
    <row r="62" spans="1:12" s="649" customFormat="1" ht="20.100000000000001" customHeight="1">
      <c r="A62" s="999"/>
      <c r="B62" s="1023"/>
      <c r="C62" s="999"/>
      <c r="D62" s="999"/>
      <c r="E62" s="999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997"/>
    </row>
    <row r="63" spans="1:12" s="649" customFormat="1" ht="20.100000000000001" customHeight="1">
      <c r="A63" s="999"/>
      <c r="B63" s="1023"/>
      <c r="C63" s="999"/>
      <c r="D63" s="999"/>
      <c r="E63" s="999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997"/>
    </row>
    <row r="64" spans="1:12" s="649" customFormat="1" ht="20.100000000000001" customHeight="1">
      <c r="A64" s="999"/>
      <c r="B64" s="1023"/>
      <c r="C64" s="999"/>
      <c r="D64" s="999"/>
      <c r="E64" s="999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997"/>
    </row>
    <row r="65" spans="1:11" s="649" customFormat="1" ht="20.100000000000001" customHeight="1">
      <c r="A65" s="999"/>
      <c r="B65" s="1023"/>
      <c r="C65" s="999"/>
      <c r="D65" s="999"/>
      <c r="E65" s="999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997"/>
    </row>
    <row r="66" spans="1:11" s="649" customFormat="1" ht="20.100000000000001" customHeight="1">
      <c r="A66" s="999"/>
      <c r="B66" s="1023"/>
      <c r="C66" s="999"/>
      <c r="D66" s="999"/>
      <c r="E66" s="999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997"/>
    </row>
    <row r="67" spans="1:11" s="649" customFormat="1" ht="20.100000000000001" customHeight="1">
      <c r="A67" s="999"/>
      <c r="B67" s="1023"/>
      <c r="C67" s="999"/>
      <c r="D67" s="999"/>
      <c r="E67" s="999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997"/>
    </row>
    <row r="68" spans="1:11" s="649" customFormat="1" ht="20.100000000000001" customHeight="1">
      <c r="A68" s="999"/>
      <c r="B68" s="1023"/>
      <c r="C68" s="999"/>
      <c r="D68" s="999"/>
      <c r="E68" s="999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997"/>
    </row>
    <row r="69" spans="1:11" s="649" customFormat="1" ht="20.100000000000001" customHeight="1">
      <c r="A69" s="999"/>
      <c r="B69" s="1023"/>
      <c r="C69" s="999"/>
      <c r="D69" s="999"/>
      <c r="E69" s="999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997"/>
    </row>
    <row r="70" spans="1:11" s="649" customFormat="1" ht="20.100000000000001" customHeight="1">
      <c r="A70" s="999"/>
      <c r="B70" s="1023"/>
      <c r="C70" s="999"/>
      <c r="D70" s="999"/>
      <c r="E70" s="999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997"/>
    </row>
    <row r="71" spans="1:11" s="649" customFormat="1" ht="20.100000000000001" customHeight="1">
      <c r="A71" s="999"/>
      <c r="B71" s="1023"/>
      <c r="C71" s="999"/>
      <c r="D71" s="999"/>
      <c r="E71" s="999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997"/>
    </row>
    <row r="72" spans="1:11" s="649" customFormat="1" ht="20.100000000000001" customHeight="1">
      <c r="A72" s="999"/>
      <c r="B72" s="1023"/>
      <c r="C72" s="1025" t="s">
        <v>24</v>
      </c>
      <c r="D72" s="1025"/>
      <c r="E72" s="1025"/>
      <c r="F72" s="1025"/>
      <c r="G72" s="651"/>
      <c r="H72" s="652"/>
      <c r="I72" s="651"/>
      <c r="J72" s="653">
        <f>SUM(J55:J71)</f>
        <v>50900</v>
      </c>
      <c r="K72" s="997"/>
    </row>
    <row r="73" spans="1:11" s="649" customFormat="1" ht="20.100000000000001" customHeight="1">
      <c r="A73" s="999"/>
      <c r="B73" s="1023"/>
      <c r="C73" s="999" t="s">
        <v>1973</v>
      </c>
      <c r="D73" s="999"/>
      <c r="E73" s="999" t="s">
        <v>1974</v>
      </c>
      <c r="F73" s="999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997"/>
    </row>
    <row r="74" spans="1:11" s="649" customFormat="1" ht="20.100000000000001" customHeight="1">
      <c r="A74" s="999"/>
      <c r="B74" s="1023"/>
      <c r="C74" s="999"/>
      <c r="D74" s="999"/>
      <c r="E74" s="999" t="s">
        <v>1928</v>
      </c>
      <c r="F74" s="999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997"/>
    </row>
    <row r="75" spans="1:11" s="649" customFormat="1" ht="20.100000000000001" customHeight="1">
      <c r="A75" s="999"/>
      <c r="B75" s="1023"/>
      <c r="C75" s="999"/>
      <c r="D75" s="999"/>
      <c r="E75" s="999" t="s">
        <v>1975</v>
      </c>
      <c r="F75" s="999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997"/>
    </row>
    <row r="76" spans="1:11" s="649" customFormat="1" ht="20.100000000000001" customHeight="1">
      <c r="A76" s="999"/>
      <c r="B76" s="1023"/>
      <c r="C76" s="999"/>
      <c r="D76" s="999"/>
      <c r="E76" s="999" t="s">
        <v>1954</v>
      </c>
      <c r="F76" s="999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997"/>
    </row>
    <row r="77" spans="1:11" s="649" customFormat="1" ht="20.100000000000001" customHeight="1">
      <c r="A77" s="999"/>
      <c r="B77" s="1023"/>
      <c r="C77" s="1025" t="s">
        <v>24</v>
      </c>
      <c r="D77" s="1025"/>
      <c r="E77" s="1025"/>
      <c r="F77" s="1025"/>
      <c r="G77" s="651"/>
      <c r="H77" s="652"/>
      <c r="I77" s="651"/>
      <c r="J77" s="653">
        <f>SUM(J73:J76)</f>
        <v>640530</v>
      </c>
      <c r="K77" s="997"/>
    </row>
    <row r="78" spans="1:11" s="649" customFormat="1" ht="20.100000000000001" customHeight="1">
      <c r="A78" s="999"/>
      <c r="B78" s="1023"/>
      <c r="C78" s="999" t="s">
        <v>1976</v>
      </c>
      <c r="D78" s="999" t="s">
        <v>1977</v>
      </c>
      <c r="E78" s="999" t="s">
        <v>1928</v>
      </c>
      <c r="F78" s="999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997"/>
    </row>
    <row r="79" spans="1:11" s="649" customFormat="1" ht="20.100000000000001" customHeight="1">
      <c r="A79" s="999"/>
      <c r="B79" s="1023"/>
      <c r="C79" s="999"/>
      <c r="D79" s="999"/>
      <c r="E79" s="999" t="s">
        <v>1978</v>
      </c>
      <c r="F79" s="999"/>
      <c r="G79" s="645" t="s">
        <v>1372</v>
      </c>
      <c r="H79" s="646">
        <v>280</v>
      </c>
      <c r="I79" s="647">
        <v>45</v>
      </c>
      <c r="J79" s="648">
        <f>H79*I79</f>
        <v>12600</v>
      </c>
      <c r="K79" s="997"/>
    </row>
    <row r="80" spans="1:11" s="649" customFormat="1" ht="20.100000000000001" customHeight="1">
      <c r="A80" s="999"/>
      <c r="B80" s="1023"/>
      <c r="C80" s="999"/>
      <c r="D80" s="999"/>
      <c r="E80" s="999" t="s">
        <v>1979</v>
      </c>
      <c r="F80" s="999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997"/>
    </row>
    <row r="81" spans="1:11" s="649" customFormat="1" ht="20.100000000000001" customHeight="1">
      <c r="A81" s="999"/>
      <c r="B81" s="1023"/>
      <c r="C81" s="999"/>
      <c r="D81" s="999"/>
      <c r="E81" s="999" t="s">
        <v>1929</v>
      </c>
      <c r="F81" s="999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997"/>
    </row>
    <row r="82" spans="1:11" s="649" customFormat="1" ht="20.100000000000001" customHeight="1">
      <c r="A82" s="999"/>
      <c r="B82" s="1023"/>
      <c r="C82" s="999"/>
      <c r="D82" s="999"/>
      <c r="E82" s="999" t="s">
        <v>1980</v>
      </c>
      <c r="F82" s="999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997"/>
    </row>
    <row r="83" spans="1:11" s="649" customFormat="1" ht="20.100000000000001" customHeight="1">
      <c r="A83" s="999"/>
      <c r="B83" s="1023"/>
      <c r="C83" s="999"/>
      <c r="D83" s="999"/>
      <c r="E83" s="999" t="s">
        <v>1981</v>
      </c>
      <c r="F83" s="999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997"/>
    </row>
    <row r="84" spans="1:11" s="649" customFormat="1" ht="20.100000000000001" customHeight="1">
      <c r="A84" s="999"/>
      <c r="B84" s="1023"/>
      <c r="C84" s="999"/>
      <c r="D84" s="999"/>
      <c r="E84" s="999" t="s">
        <v>1982</v>
      </c>
      <c r="F84" s="999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997"/>
    </row>
    <row r="85" spans="1:11" s="649" customFormat="1" ht="20.100000000000001" customHeight="1">
      <c r="A85" s="999"/>
      <c r="B85" s="1023"/>
      <c r="C85" s="999"/>
      <c r="D85" s="999"/>
      <c r="E85" s="999" t="s">
        <v>1983</v>
      </c>
      <c r="F85" s="999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997"/>
    </row>
    <row r="86" spans="1:11" s="649" customFormat="1" ht="20.100000000000001" customHeight="1">
      <c r="A86" s="999"/>
      <c r="B86" s="1023"/>
      <c r="C86" s="999"/>
      <c r="D86" s="999"/>
      <c r="E86" s="999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997"/>
    </row>
    <row r="87" spans="1:11" s="649" customFormat="1" ht="20.100000000000001" customHeight="1">
      <c r="A87" s="999"/>
      <c r="B87" s="1023"/>
      <c r="C87" s="999"/>
      <c r="D87" s="999"/>
      <c r="E87" s="999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997"/>
    </row>
    <row r="88" spans="1:11" s="649" customFormat="1" ht="20.100000000000001" customHeight="1">
      <c r="A88" s="999"/>
      <c r="B88" s="1023"/>
      <c r="C88" s="999"/>
      <c r="D88" s="999"/>
      <c r="E88" s="999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997"/>
    </row>
    <row r="89" spans="1:11" s="649" customFormat="1" ht="20.100000000000001" customHeight="1">
      <c r="A89" s="999"/>
      <c r="B89" s="1023"/>
      <c r="C89" s="999"/>
      <c r="D89" s="999"/>
      <c r="E89" s="999" t="s">
        <v>1988</v>
      </c>
      <c r="F89" s="999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997"/>
    </row>
    <row r="90" spans="1:11" s="649" customFormat="1" ht="20.100000000000001" customHeight="1">
      <c r="A90" s="999"/>
      <c r="B90" s="1023"/>
      <c r="C90" s="999"/>
      <c r="D90" s="999"/>
      <c r="E90" s="999" t="s">
        <v>1989</v>
      </c>
      <c r="F90" s="999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997"/>
    </row>
    <row r="91" spans="1:11" s="649" customFormat="1" ht="20.100000000000001" customHeight="1">
      <c r="A91" s="999"/>
      <c r="B91" s="1023"/>
      <c r="C91" s="999"/>
      <c r="D91" s="999"/>
      <c r="E91" s="999" t="s">
        <v>1990</v>
      </c>
      <c r="F91" s="999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997"/>
    </row>
    <row r="92" spans="1:11" s="649" customFormat="1" ht="20.100000000000001" customHeight="1">
      <c r="A92" s="999"/>
      <c r="B92" s="1023"/>
      <c r="C92" s="999"/>
      <c r="D92" s="999" t="s">
        <v>1991</v>
      </c>
      <c r="E92" s="999" t="s">
        <v>1928</v>
      </c>
      <c r="F92" s="999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997"/>
    </row>
    <row r="93" spans="1:11" s="649" customFormat="1" ht="20.100000000000001" customHeight="1">
      <c r="A93" s="999"/>
      <c r="B93" s="1023"/>
      <c r="C93" s="999"/>
      <c r="D93" s="999"/>
      <c r="E93" s="999" t="s">
        <v>1978</v>
      </c>
      <c r="F93" s="999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997"/>
    </row>
    <row r="94" spans="1:11" s="649" customFormat="1" ht="20.100000000000001" customHeight="1">
      <c r="A94" s="999"/>
      <c r="B94" s="1023"/>
      <c r="C94" s="999"/>
      <c r="D94" s="999"/>
      <c r="E94" s="999" t="s">
        <v>1979</v>
      </c>
      <c r="F94" s="999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997"/>
    </row>
    <row r="95" spans="1:11" s="649" customFormat="1" ht="20.100000000000001" customHeight="1">
      <c r="A95" s="999"/>
      <c r="B95" s="1023"/>
      <c r="C95" s="999"/>
      <c r="D95" s="999"/>
      <c r="E95" s="999" t="s">
        <v>1929</v>
      </c>
      <c r="F95" s="999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997"/>
    </row>
    <row r="96" spans="1:11" s="649" customFormat="1" ht="20.100000000000001" customHeight="1">
      <c r="A96" s="999"/>
      <c r="B96" s="1023"/>
      <c r="C96" s="999"/>
      <c r="D96" s="999"/>
      <c r="E96" s="999" t="s">
        <v>1992</v>
      </c>
      <c r="F96" s="999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997"/>
    </row>
    <row r="97" spans="1:11" s="649" customFormat="1" ht="20.100000000000001" customHeight="1">
      <c r="A97" s="999"/>
      <c r="B97" s="1023"/>
      <c r="C97" s="999"/>
      <c r="D97" s="999"/>
      <c r="E97" s="999" t="s">
        <v>1981</v>
      </c>
      <c r="F97" s="999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997"/>
    </row>
    <row r="98" spans="1:11" s="649" customFormat="1" ht="20.100000000000001" customHeight="1">
      <c r="A98" s="999"/>
      <c r="B98" s="1023"/>
      <c r="C98" s="999"/>
      <c r="D98" s="999"/>
      <c r="E98" s="999" t="s">
        <v>1982</v>
      </c>
      <c r="F98" s="999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997"/>
    </row>
    <row r="99" spans="1:11" s="649" customFormat="1" ht="20.100000000000001" customHeight="1">
      <c r="A99" s="999"/>
      <c r="B99" s="1023"/>
      <c r="C99" s="999"/>
      <c r="D99" s="999"/>
      <c r="E99" s="999" t="s">
        <v>1983</v>
      </c>
      <c r="F99" s="999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997"/>
    </row>
    <row r="100" spans="1:11" s="649" customFormat="1" ht="20.100000000000001" customHeight="1">
      <c r="A100" s="999"/>
      <c r="B100" s="1023"/>
      <c r="C100" s="999"/>
      <c r="D100" s="999"/>
      <c r="E100" s="999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997"/>
    </row>
    <row r="101" spans="1:11" s="649" customFormat="1" ht="20.100000000000001" customHeight="1">
      <c r="A101" s="999"/>
      <c r="B101" s="1023"/>
      <c r="C101" s="999"/>
      <c r="D101" s="999"/>
      <c r="E101" s="999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997"/>
    </row>
    <row r="102" spans="1:11" s="649" customFormat="1" ht="20.100000000000001" customHeight="1">
      <c r="A102" s="999"/>
      <c r="B102" s="1023"/>
      <c r="C102" s="999"/>
      <c r="D102" s="999"/>
      <c r="E102" s="999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997"/>
    </row>
    <row r="103" spans="1:11" s="649" customFormat="1" ht="20.100000000000001" customHeight="1">
      <c r="A103" s="999"/>
      <c r="B103" s="1023"/>
      <c r="C103" s="999"/>
      <c r="D103" s="999"/>
      <c r="E103" s="999" t="s">
        <v>1988</v>
      </c>
      <c r="F103" s="999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997"/>
    </row>
    <row r="104" spans="1:11" s="649" customFormat="1" ht="20.100000000000001" customHeight="1">
      <c r="A104" s="999"/>
      <c r="B104" s="1023"/>
      <c r="C104" s="999"/>
      <c r="D104" s="999"/>
      <c r="E104" s="999" t="s">
        <v>1989</v>
      </c>
      <c r="F104" s="999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997"/>
    </row>
    <row r="105" spans="1:11" s="649" customFormat="1" ht="20.100000000000001" customHeight="1">
      <c r="A105" s="999"/>
      <c r="B105" s="1023"/>
      <c r="C105" s="999"/>
      <c r="D105" s="999"/>
      <c r="E105" s="999" t="s">
        <v>1994</v>
      </c>
      <c r="F105" s="999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997"/>
    </row>
    <row r="106" spans="1:11" s="649" customFormat="1" ht="20.100000000000001" customHeight="1">
      <c r="A106" s="999"/>
      <c r="B106" s="1023"/>
      <c r="C106" s="999"/>
      <c r="D106" s="999" t="s">
        <v>1995</v>
      </c>
      <c r="E106" s="999" t="s">
        <v>1928</v>
      </c>
      <c r="F106" s="999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997"/>
    </row>
    <row r="107" spans="1:11" s="649" customFormat="1" ht="20.100000000000001" customHeight="1">
      <c r="A107" s="999"/>
      <c r="B107" s="1023"/>
      <c r="C107" s="999"/>
      <c r="D107" s="999"/>
      <c r="E107" s="999" t="s">
        <v>1929</v>
      </c>
      <c r="F107" s="999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997"/>
    </row>
    <row r="108" spans="1:11" s="649" customFormat="1" ht="20.100000000000001" customHeight="1">
      <c r="A108" s="999"/>
      <c r="B108" s="1023"/>
      <c r="C108" s="999"/>
      <c r="D108" s="999"/>
      <c r="E108" s="999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997"/>
    </row>
    <row r="109" spans="1:11" s="649" customFormat="1" ht="20.100000000000001" customHeight="1">
      <c r="A109" s="999"/>
      <c r="B109" s="1023"/>
      <c r="C109" s="999"/>
      <c r="D109" s="999"/>
      <c r="E109" s="999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997"/>
    </row>
    <row r="110" spans="1:11" s="649" customFormat="1" ht="20.100000000000001" customHeight="1">
      <c r="A110" s="999"/>
      <c r="B110" s="1023"/>
      <c r="C110" s="999"/>
      <c r="D110" s="999"/>
      <c r="E110" s="999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997"/>
    </row>
    <row r="111" spans="1:11" s="649" customFormat="1" ht="20.100000000000001" customHeight="1">
      <c r="A111" s="999"/>
      <c r="B111" s="1023"/>
      <c r="C111" s="999"/>
      <c r="D111" s="999"/>
      <c r="E111" s="999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997"/>
    </row>
    <row r="112" spans="1:11" s="649" customFormat="1" ht="20.100000000000001" customHeight="1">
      <c r="A112" s="999"/>
      <c r="B112" s="1023"/>
      <c r="C112" s="999"/>
      <c r="D112" s="999"/>
      <c r="E112" s="999" t="s">
        <v>2000</v>
      </c>
      <c r="F112" s="999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997"/>
    </row>
    <row r="113" spans="1:11" s="649" customFormat="1" ht="20.100000000000001" customHeight="1">
      <c r="A113" s="999"/>
      <c r="B113" s="1023"/>
      <c r="C113" s="999"/>
      <c r="D113" s="999"/>
      <c r="E113" s="999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997"/>
    </row>
    <row r="114" spans="1:11" s="649" customFormat="1" ht="20.100000000000001" customHeight="1">
      <c r="A114" s="999"/>
      <c r="B114" s="1023"/>
      <c r="C114" s="999"/>
      <c r="D114" s="999"/>
      <c r="E114" s="999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997"/>
    </row>
    <row r="115" spans="1:11" s="649" customFormat="1" ht="20.100000000000001" customHeight="1">
      <c r="A115" s="999"/>
      <c r="B115" s="1023"/>
      <c r="C115" s="999"/>
      <c r="D115" s="999"/>
      <c r="E115" s="999" t="s">
        <v>2004</v>
      </c>
      <c r="F115" s="999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997"/>
    </row>
    <row r="116" spans="1:11" s="649" customFormat="1" ht="20.100000000000001" customHeight="1">
      <c r="A116" s="999"/>
      <c r="B116" s="1023"/>
      <c r="C116" s="999"/>
      <c r="D116" s="999"/>
      <c r="E116" s="999" t="s">
        <v>1994</v>
      </c>
      <c r="F116" s="999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997"/>
    </row>
    <row r="117" spans="1:11" s="649" customFormat="1" ht="20.100000000000001" customHeight="1">
      <c r="A117" s="999"/>
      <c r="B117" s="1023"/>
      <c r="C117" s="999"/>
      <c r="D117" s="999"/>
      <c r="E117" s="999" t="s">
        <v>2005</v>
      </c>
      <c r="F117" s="999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997"/>
    </row>
    <row r="118" spans="1:11" s="649" customFormat="1" ht="20.100000000000001" customHeight="1">
      <c r="A118" s="999"/>
      <c r="B118" s="1023"/>
      <c r="C118" s="999"/>
      <c r="D118" s="999" t="s">
        <v>1926</v>
      </c>
      <c r="E118" s="999" t="s">
        <v>1928</v>
      </c>
      <c r="F118" s="999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997"/>
    </row>
    <row r="119" spans="1:11" s="649" customFormat="1" ht="20.100000000000001" customHeight="1">
      <c r="A119" s="999"/>
      <c r="B119" s="1023"/>
      <c r="C119" s="999"/>
      <c r="D119" s="999"/>
      <c r="E119" s="999" t="s">
        <v>1929</v>
      </c>
      <c r="F119" s="999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997"/>
    </row>
    <row r="120" spans="1:11" s="649" customFormat="1" ht="20.100000000000001" customHeight="1">
      <c r="A120" s="999"/>
      <c r="B120" s="1023"/>
      <c r="C120" s="999"/>
      <c r="D120" s="999"/>
      <c r="E120" s="999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997"/>
    </row>
    <row r="121" spans="1:11" s="649" customFormat="1" ht="20.100000000000001" customHeight="1">
      <c r="A121" s="999"/>
      <c r="B121" s="1023"/>
      <c r="C121" s="999"/>
      <c r="D121" s="999"/>
      <c r="E121" s="999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997"/>
    </row>
    <row r="122" spans="1:11" s="649" customFormat="1" ht="20.100000000000001" customHeight="1">
      <c r="A122" s="999"/>
      <c r="B122" s="1023"/>
      <c r="C122" s="999"/>
      <c r="D122" s="999"/>
      <c r="E122" s="999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997"/>
    </row>
    <row r="123" spans="1:11" s="649" customFormat="1" ht="20.100000000000001" customHeight="1">
      <c r="A123" s="999"/>
      <c r="B123" s="1023"/>
      <c r="C123" s="999"/>
      <c r="D123" s="999"/>
      <c r="E123" s="999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997"/>
    </row>
    <row r="124" spans="1:11" s="649" customFormat="1" ht="20.100000000000001" customHeight="1">
      <c r="A124" s="999"/>
      <c r="B124" s="1023"/>
      <c r="C124" s="999"/>
      <c r="D124" s="999"/>
      <c r="E124" s="999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997"/>
    </row>
    <row r="125" spans="1:11" s="649" customFormat="1" ht="20.100000000000001" customHeight="1">
      <c r="A125" s="999"/>
      <c r="B125" s="1023"/>
      <c r="C125" s="999"/>
      <c r="D125" s="999"/>
      <c r="E125" s="999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997"/>
    </row>
    <row r="126" spans="1:11" s="649" customFormat="1" ht="20.100000000000001" customHeight="1">
      <c r="A126" s="999"/>
      <c r="B126" s="1023"/>
      <c r="C126" s="999"/>
      <c r="D126" s="999"/>
      <c r="E126" s="999" t="s">
        <v>2008</v>
      </c>
      <c r="F126" s="999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997"/>
    </row>
    <row r="127" spans="1:11" s="649" customFormat="1" ht="20.100000000000001" customHeight="1">
      <c r="A127" s="999"/>
      <c r="B127" s="1023"/>
      <c r="C127" s="999"/>
      <c r="D127" s="999"/>
      <c r="E127" s="999" t="s">
        <v>1994</v>
      </c>
      <c r="F127" s="999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997"/>
    </row>
    <row r="128" spans="1:11" s="649" customFormat="1" ht="20.100000000000001" customHeight="1">
      <c r="A128" s="999"/>
      <c r="B128" s="1023"/>
      <c r="C128" s="999"/>
      <c r="D128" s="999"/>
      <c r="E128" s="999" t="s">
        <v>2009</v>
      </c>
      <c r="F128" s="999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997"/>
    </row>
    <row r="129" spans="1:11" s="649" customFormat="1" ht="20.100000000000001" customHeight="1">
      <c r="A129" s="999"/>
      <c r="B129" s="1023"/>
      <c r="C129" s="999"/>
      <c r="D129" s="650" t="s">
        <v>2010</v>
      </c>
      <c r="E129" s="999" t="s">
        <v>2011</v>
      </c>
      <c r="F129" s="999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997"/>
    </row>
    <row r="130" spans="1:11" s="649" customFormat="1" ht="20.100000000000001" customHeight="1">
      <c r="A130" s="999"/>
      <c r="B130" s="1023"/>
      <c r="C130" s="1025" t="s">
        <v>24</v>
      </c>
      <c r="D130" s="1025"/>
      <c r="E130" s="1025"/>
      <c r="F130" s="1025"/>
      <c r="G130" s="651"/>
      <c r="H130" s="652"/>
      <c r="I130" s="651"/>
      <c r="J130" s="653">
        <f>SUM(J78:J129)</f>
        <v>809580</v>
      </c>
      <c r="K130" s="997"/>
    </row>
    <row r="131" spans="1:11" s="649" customFormat="1" ht="20.100000000000001" customHeight="1">
      <c r="A131" s="999"/>
      <c r="B131" s="1023"/>
      <c r="C131" s="1000" t="s">
        <v>2012</v>
      </c>
      <c r="D131" s="1001"/>
      <c r="E131" s="999" t="s">
        <v>1928</v>
      </c>
      <c r="F131" s="999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997"/>
    </row>
    <row r="132" spans="1:11" s="649" customFormat="1" ht="20.100000000000001" customHeight="1">
      <c r="A132" s="999"/>
      <c r="B132" s="1023"/>
      <c r="C132" s="1012"/>
      <c r="D132" s="1013"/>
      <c r="E132" s="999" t="s">
        <v>1929</v>
      </c>
      <c r="F132" s="999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997"/>
    </row>
    <row r="133" spans="1:11" s="649" customFormat="1" ht="20.100000000000001" customHeight="1">
      <c r="A133" s="999"/>
      <c r="B133" s="1023"/>
      <c r="C133" s="1012"/>
      <c r="D133" s="1013"/>
      <c r="E133" s="999" t="s">
        <v>2013</v>
      </c>
      <c r="F133" s="999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997"/>
    </row>
    <row r="134" spans="1:11" s="649" customFormat="1" ht="20.100000000000001" customHeight="1">
      <c r="A134" s="999"/>
      <c r="B134" s="1023"/>
      <c r="C134" s="1012"/>
      <c r="D134" s="1013"/>
      <c r="E134" s="999" t="s">
        <v>1931</v>
      </c>
      <c r="F134" s="999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997"/>
    </row>
    <row r="135" spans="1:11" s="649" customFormat="1" ht="20.100000000000001" customHeight="1">
      <c r="A135" s="999"/>
      <c r="B135" s="1023"/>
      <c r="C135" s="1002"/>
      <c r="D135" s="1003"/>
      <c r="E135" s="999" t="s">
        <v>2014</v>
      </c>
      <c r="F135" s="999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997"/>
    </row>
    <row r="136" spans="1:11" s="649" customFormat="1" ht="20.100000000000001" customHeight="1">
      <c r="A136" s="999"/>
      <c r="B136" s="1023"/>
      <c r="C136" s="1025" t="s">
        <v>24</v>
      </c>
      <c r="D136" s="1025"/>
      <c r="E136" s="1025"/>
      <c r="F136" s="1025"/>
      <c r="G136" s="651"/>
      <c r="H136" s="652"/>
      <c r="I136" s="651"/>
      <c r="J136" s="653">
        <f>SUM(J131:J135)</f>
        <v>60300</v>
      </c>
      <c r="K136" s="997"/>
    </row>
    <row r="137" spans="1:11" s="649" customFormat="1" ht="20.100000000000001" customHeight="1">
      <c r="A137" s="999"/>
      <c r="B137" s="1023"/>
      <c r="C137" s="999" t="s">
        <v>2015</v>
      </c>
      <c r="D137" s="999" t="s">
        <v>1459</v>
      </c>
      <c r="E137" s="999" t="s">
        <v>2016</v>
      </c>
      <c r="F137" s="645" t="s">
        <v>2017</v>
      </c>
      <c r="G137" s="1014" t="s">
        <v>1376</v>
      </c>
      <c r="H137" s="1016">
        <v>1</v>
      </c>
      <c r="I137" s="1026">
        <v>30000</v>
      </c>
      <c r="J137" s="1020">
        <f t="shared" si="0"/>
        <v>30000</v>
      </c>
      <c r="K137" s="997"/>
    </row>
    <row r="138" spans="1:11" s="649" customFormat="1" ht="20.100000000000001" customHeight="1">
      <c r="A138" s="999"/>
      <c r="B138" s="1023"/>
      <c r="C138" s="999"/>
      <c r="D138" s="999"/>
      <c r="E138" s="999"/>
      <c r="F138" s="645" t="s">
        <v>2018</v>
      </c>
      <c r="G138" s="1030"/>
      <c r="H138" s="1031"/>
      <c r="I138" s="1027"/>
      <c r="J138" s="1029"/>
      <c r="K138" s="997"/>
    </row>
    <row r="139" spans="1:11" s="649" customFormat="1" ht="20.100000000000001" customHeight="1">
      <c r="A139" s="999"/>
      <c r="B139" s="1023"/>
      <c r="C139" s="999"/>
      <c r="D139" s="999"/>
      <c r="E139" s="999"/>
      <c r="F139" s="645" t="s">
        <v>2019</v>
      </c>
      <c r="G139" s="1030"/>
      <c r="H139" s="1031"/>
      <c r="I139" s="1027"/>
      <c r="J139" s="1029"/>
      <c r="K139" s="997"/>
    </row>
    <row r="140" spans="1:11" s="649" customFormat="1" ht="20.100000000000001" customHeight="1">
      <c r="A140" s="999"/>
      <c r="B140" s="1023"/>
      <c r="C140" s="999"/>
      <c r="D140" s="999"/>
      <c r="E140" s="999"/>
      <c r="F140" s="645" t="s">
        <v>2020</v>
      </c>
      <c r="G140" s="1030"/>
      <c r="H140" s="1031"/>
      <c r="I140" s="1027"/>
      <c r="J140" s="1029"/>
      <c r="K140" s="997"/>
    </row>
    <row r="141" spans="1:11" s="649" customFormat="1" ht="20.100000000000001" customHeight="1">
      <c r="A141" s="999"/>
      <c r="B141" s="1023"/>
      <c r="C141" s="999"/>
      <c r="D141" s="999"/>
      <c r="E141" s="999"/>
      <c r="F141" s="645" t="s">
        <v>2021</v>
      </c>
      <c r="G141" s="1015"/>
      <c r="H141" s="1017"/>
      <c r="I141" s="1028"/>
      <c r="J141" s="1021"/>
      <c r="K141" s="997"/>
    </row>
    <row r="142" spans="1:11" s="649" customFormat="1" ht="20.100000000000001" customHeight="1">
      <c r="A142" s="999"/>
      <c r="B142" s="1023"/>
      <c r="C142" s="999"/>
      <c r="D142" s="999"/>
      <c r="E142" s="999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997"/>
    </row>
    <row r="143" spans="1:11" s="649" customFormat="1" ht="20.100000000000001" customHeight="1">
      <c r="A143" s="999"/>
      <c r="B143" s="1023"/>
      <c r="C143" s="999"/>
      <c r="D143" s="999"/>
      <c r="E143" s="999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997"/>
    </row>
    <row r="144" spans="1:11" s="649" customFormat="1" ht="20.100000000000001" customHeight="1">
      <c r="A144" s="999"/>
      <c r="B144" s="1023"/>
      <c r="C144" s="999"/>
      <c r="D144" s="999"/>
      <c r="E144" s="999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997"/>
    </row>
    <row r="145" spans="1:11" s="649" customFormat="1" ht="20.100000000000001" customHeight="1">
      <c r="A145" s="999"/>
      <c r="B145" s="1023"/>
      <c r="C145" s="999"/>
      <c r="D145" s="999"/>
      <c r="E145" s="999" t="s">
        <v>2026</v>
      </c>
      <c r="F145" s="999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997"/>
    </row>
    <row r="146" spans="1:11" s="649" customFormat="1" ht="20.100000000000001" customHeight="1">
      <c r="A146" s="999"/>
      <c r="B146" s="1023"/>
      <c r="C146" s="999"/>
      <c r="D146" s="999"/>
      <c r="E146" s="999" t="s">
        <v>2027</v>
      </c>
      <c r="F146" s="999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997"/>
    </row>
    <row r="147" spans="1:11" s="649" customFormat="1" ht="20.100000000000001" customHeight="1">
      <c r="A147" s="999"/>
      <c r="B147" s="1023"/>
      <c r="C147" s="999"/>
      <c r="D147" s="999"/>
      <c r="E147" s="999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997"/>
    </row>
    <row r="148" spans="1:11" s="649" customFormat="1" ht="20.100000000000001" customHeight="1">
      <c r="A148" s="999"/>
      <c r="B148" s="1023"/>
      <c r="C148" s="999"/>
      <c r="D148" s="999"/>
      <c r="E148" s="999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997"/>
    </row>
    <row r="149" spans="1:11" s="649" customFormat="1" ht="20.100000000000001" customHeight="1">
      <c r="A149" s="999"/>
      <c r="B149" s="1023"/>
      <c r="C149" s="999"/>
      <c r="D149" s="999"/>
      <c r="E149" s="999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997"/>
    </row>
    <row r="150" spans="1:11" s="649" customFormat="1" ht="20.100000000000001" customHeight="1">
      <c r="A150" s="999"/>
      <c r="B150" s="1023"/>
      <c r="C150" s="999"/>
      <c r="D150" s="999"/>
      <c r="E150" s="999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997"/>
    </row>
    <row r="151" spans="1:11" s="649" customFormat="1" ht="20.100000000000001" customHeight="1">
      <c r="A151" s="999"/>
      <c r="B151" s="1023"/>
      <c r="C151" s="999"/>
      <c r="D151" s="999"/>
      <c r="E151" s="999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997"/>
    </row>
    <row r="152" spans="1:11" s="649" customFormat="1" ht="20.100000000000001" customHeight="1">
      <c r="A152" s="999"/>
      <c r="B152" s="1023"/>
      <c r="C152" s="999"/>
      <c r="D152" s="999"/>
      <c r="E152" s="999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997"/>
    </row>
    <row r="153" spans="1:11" s="649" customFormat="1" ht="20.100000000000001" customHeight="1">
      <c r="A153" s="999"/>
      <c r="B153" s="1023"/>
      <c r="C153" s="999"/>
      <c r="D153" s="999"/>
      <c r="E153" s="999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997"/>
    </row>
    <row r="154" spans="1:11" s="649" customFormat="1" ht="20.100000000000001" customHeight="1">
      <c r="A154" s="999"/>
      <c r="B154" s="1023"/>
      <c r="C154" s="999"/>
      <c r="D154" s="999"/>
      <c r="E154" s="999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997"/>
    </row>
    <row r="155" spans="1:11" s="649" customFormat="1" ht="20.100000000000001" customHeight="1">
      <c r="A155" s="999"/>
      <c r="B155" s="1023"/>
      <c r="C155" s="999"/>
      <c r="D155" s="999"/>
      <c r="E155" s="999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997"/>
    </row>
    <row r="156" spans="1:11" s="649" customFormat="1" ht="20.100000000000001" customHeight="1">
      <c r="A156" s="999"/>
      <c r="B156" s="1023"/>
      <c r="C156" s="999"/>
      <c r="D156" s="999"/>
      <c r="E156" s="999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997"/>
    </row>
    <row r="157" spans="1:11" s="649" customFormat="1" ht="20.100000000000001" customHeight="1">
      <c r="A157" s="999"/>
      <c r="B157" s="1023"/>
      <c r="C157" s="999"/>
      <c r="D157" s="999"/>
      <c r="E157" s="999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997"/>
    </row>
    <row r="158" spans="1:11" s="649" customFormat="1" ht="20.100000000000001" customHeight="1">
      <c r="A158" s="999"/>
      <c r="B158" s="1023"/>
      <c r="C158" s="999"/>
      <c r="D158" s="999"/>
      <c r="E158" s="999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997"/>
    </row>
    <row r="159" spans="1:11" s="649" customFormat="1" ht="20.100000000000001" customHeight="1">
      <c r="A159" s="999"/>
      <c r="B159" s="1023"/>
      <c r="C159" s="999"/>
      <c r="D159" s="999"/>
      <c r="E159" s="999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997"/>
    </row>
    <row r="160" spans="1:11" s="649" customFormat="1" ht="20.100000000000001" customHeight="1">
      <c r="A160" s="999"/>
      <c r="B160" s="1023"/>
      <c r="C160" s="999"/>
      <c r="D160" s="999"/>
      <c r="E160" s="999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997"/>
    </row>
    <row r="161" spans="1:11" s="649" customFormat="1" ht="20.100000000000001" customHeight="1">
      <c r="A161" s="999"/>
      <c r="B161" s="1023"/>
      <c r="C161" s="999"/>
      <c r="D161" s="999"/>
      <c r="E161" s="999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997"/>
    </row>
    <row r="162" spans="1:11" s="649" customFormat="1" ht="20.100000000000001" customHeight="1">
      <c r="A162" s="999"/>
      <c r="B162" s="1023"/>
      <c r="C162" s="999"/>
      <c r="D162" s="999"/>
      <c r="E162" s="999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997"/>
    </row>
    <row r="163" spans="1:11" s="649" customFormat="1" ht="20.100000000000001" customHeight="1">
      <c r="A163" s="999"/>
      <c r="B163" s="1023"/>
      <c r="C163" s="999"/>
      <c r="D163" s="999"/>
      <c r="E163" s="999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997"/>
    </row>
    <row r="164" spans="1:11" s="649" customFormat="1" ht="20.100000000000001" customHeight="1">
      <c r="A164" s="999"/>
      <c r="B164" s="1023"/>
      <c r="C164" s="999"/>
      <c r="D164" s="999"/>
      <c r="E164" s="999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997"/>
    </row>
    <row r="165" spans="1:11" s="649" customFormat="1" ht="20.100000000000001" customHeight="1">
      <c r="A165" s="999"/>
      <c r="B165" s="1023"/>
      <c r="C165" s="999"/>
      <c r="D165" s="999"/>
      <c r="E165" s="999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997"/>
    </row>
    <row r="166" spans="1:11" s="649" customFormat="1" ht="20.100000000000001" customHeight="1">
      <c r="A166" s="999"/>
      <c r="B166" s="1023"/>
      <c r="C166" s="999"/>
      <c r="D166" s="999"/>
      <c r="E166" s="999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997"/>
    </row>
    <row r="167" spans="1:11" s="649" customFormat="1" ht="20.100000000000001" customHeight="1">
      <c r="A167" s="999"/>
      <c r="B167" s="1023"/>
      <c r="C167" s="999"/>
      <c r="D167" s="999"/>
      <c r="E167" s="999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997"/>
    </row>
    <row r="168" spans="1:11" s="649" customFormat="1" ht="20.100000000000001" customHeight="1">
      <c r="A168" s="999"/>
      <c r="B168" s="1023"/>
      <c r="C168" s="999"/>
      <c r="D168" s="999"/>
      <c r="E168" s="999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997"/>
    </row>
    <row r="169" spans="1:11" s="649" customFormat="1" ht="20.100000000000001" customHeight="1">
      <c r="A169" s="999"/>
      <c r="B169" s="1023"/>
      <c r="C169" s="999"/>
      <c r="D169" s="999"/>
      <c r="E169" s="999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997"/>
    </row>
    <row r="170" spans="1:11" s="649" customFormat="1" ht="20.100000000000001" customHeight="1">
      <c r="A170" s="999"/>
      <c r="B170" s="1023"/>
      <c r="C170" s="999"/>
      <c r="D170" s="999"/>
      <c r="E170" s="999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997"/>
    </row>
    <row r="171" spans="1:11" s="649" customFormat="1" ht="20.100000000000001" customHeight="1">
      <c r="A171" s="999"/>
      <c r="B171" s="1023"/>
      <c r="C171" s="999"/>
      <c r="D171" s="999"/>
      <c r="E171" s="999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997"/>
    </row>
    <row r="172" spans="1:11" s="649" customFormat="1" ht="20.100000000000001" customHeight="1">
      <c r="A172" s="999"/>
      <c r="B172" s="1023"/>
      <c r="C172" s="999"/>
      <c r="D172" s="999"/>
      <c r="E172" s="999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997"/>
    </row>
    <row r="173" spans="1:11" s="649" customFormat="1" ht="20.100000000000001" customHeight="1">
      <c r="A173" s="999"/>
      <c r="B173" s="1023"/>
      <c r="C173" s="999"/>
      <c r="D173" s="999"/>
      <c r="E173" s="999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997"/>
    </row>
    <row r="174" spans="1:11" s="649" customFormat="1" ht="20.100000000000001" customHeight="1">
      <c r="A174" s="999"/>
      <c r="B174" s="1023"/>
      <c r="C174" s="999"/>
      <c r="D174" s="999"/>
      <c r="E174" s="999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997"/>
    </row>
    <row r="175" spans="1:11" s="649" customFormat="1" ht="20.100000000000001" customHeight="1">
      <c r="A175" s="999"/>
      <c r="B175" s="1023"/>
      <c r="C175" s="999"/>
      <c r="D175" s="999"/>
      <c r="E175" s="999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997"/>
    </row>
    <row r="176" spans="1:11" s="649" customFormat="1" ht="20.100000000000001" customHeight="1">
      <c r="A176" s="999"/>
      <c r="B176" s="1023"/>
      <c r="C176" s="1025" t="s">
        <v>24</v>
      </c>
      <c r="D176" s="1025"/>
      <c r="E176" s="1025"/>
      <c r="F176" s="1025"/>
      <c r="G176" s="655"/>
      <c r="H176" s="656"/>
      <c r="I176" s="647"/>
      <c r="J176" s="653">
        <f>SUM(J137:J175)</f>
        <v>318090</v>
      </c>
      <c r="K176" s="997"/>
    </row>
    <row r="177" spans="1:11" s="649" customFormat="1" ht="20.100000000000001" customHeight="1">
      <c r="A177" s="999"/>
      <c r="B177" s="1023"/>
      <c r="C177" s="999" t="s">
        <v>2052</v>
      </c>
      <c r="D177" s="999" t="s">
        <v>2053</v>
      </c>
      <c r="E177" s="999" t="s">
        <v>2054</v>
      </c>
      <c r="F177" s="999"/>
      <c r="G177" s="650" t="s">
        <v>2055</v>
      </c>
      <c r="H177" s="656" t="s">
        <v>2055</v>
      </c>
      <c r="I177" s="647" t="s">
        <v>2055</v>
      </c>
      <c r="J177" s="647">
        <v>10000</v>
      </c>
      <c r="K177" s="997"/>
    </row>
    <row r="178" spans="1:11" s="649" customFormat="1" ht="20.100000000000001" customHeight="1">
      <c r="A178" s="999"/>
      <c r="B178" s="1023"/>
      <c r="C178" s="999"/>
      <c r="D178" s="999"/>
      <c r="E178" s="999" t="s">
        <v>2056</v>
      </c>
      <c r="F178" s="999"/>
      <c r="G178" s="650" t="s">
        <v>2055</v>
      </c>
      <c r="H178" s="656" t="s">
        <v>2055</v>
      </c>
      <c r="I178" s="647" t="s">
        <v>2055</v>
      </c>
      <c r="J178" s="647">
        <v>10000</v>
      </c>
      <c r="K178" s="997"/>
    </row>
    <row r="179" spans="1:11" s="649" customFormat="1" ht="20.100000000000001" customHeight="1">
      <c r="A179" s="999"/>
      <c r="B179" s="1023"/>
      <c r="C179" s="999"/>
      <c r="D179" s="999" t="s">
        <v>2057</v>
      </c>
      <c r="E179" s="999" t="s">
        <v>2058</v>
      </c>
      <c r="F179" s="999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997"/>
    </row>
    <row r="180" spans="1:11" s="649" customFormat="1" ht="20.100000000000001" customHeight="1">
      <c r="A180" s="999"/>
      <c r="B180" s="1023"/>
      <c r="C180" s="999"/>
      <c r="D180" s="999"/>
      <c r="E180" s="999" t="s">
        <v>2059</v>
      </c>
      <c r="F180" s="999"/>
      <c r="G180" s="650" t="s">
        <v>2055</v>
      </c>
      <c r="H180" s="650" t="s">
        <v>2055</v>
      </c>
      <c r="I180" s="650" t="s">
        <v>2055</v>
      </c>
      <c r="J180" s="647">
        <v>30000</v>
      </c>
      <c r="K180" s="997"/>
    </row>
    <row r="181" spans="1:11" s="649" customFormat="1" ht="20.100000000000001" customHeight="1">
      <c r="A181" s="999"/>
      <c r="B181" s="1023"/>
      <c r="C181" s="999"/>
      <c r="D181" s="999"/>
      <c r="E181" s="999" t="s">
        <v>2060</v>
      </c>
      <c r="F181" s="999"/>
      <c r="G181" s="650" t="s">
        <v>2055</v>
      </c>
      <c r="H181" s="650" t="s">
        <v>2055</v>
      </c>
      <c r="I181" s="650" t="s">
        <v>2055</v>
      </c>
      <c r="J181" s="647">
        <v>20000</v>
      </c>
      <c r="K181" s="997"/>
    </row>
    <row r="182" spans="1:11" s="649" customFormat="1" ht="20.100000000000001" customHeight="1">
      <c r="A182" s="999"/>
      <c r="B182" s="1023"/>
      <c r="C182" s="1025" t="s">
        <v>24</v>
      </c>
      <c r="D182" s="1025"/>
      <c r="E182" s="1025"/>
      <c r="F182" s="1025"/>
      <c r="G182" s="656"/>
      <c r="H182" s="656"/>
      <c r="I182" s="658"/>
      <c r="J182" s="658">
        <f>SUM(J177:J181)</f>
        <v>80000</v>
      </c>
      <c r="K182" s="997"/>
    </row>
    <row r="183" spans="1:11" s="649" customFormat="1" ht="20.100000000000001" customHeight="1">
      <c r="A183" s="999"/>
      <c r="B183" s="1023"/>
      <c r="C183" s="656" t="s">
        <v>2061</v>
      </c>
      <c r="D183" s="1025" t="s">
        <v>2055</v>
      </c>
      <c r="E183" s="1025"/>
      <c r="F183" s="1025"/>
      <c r="G183" s="650"/>
      <c r="H183" s="650"/>
      <c r="I183" s="647"/>
      <c r="J183" s="658">
        <f>J25+J39+J54+J72+J77+J136+J176+J182+J130</f>
        <v>4704299.5</v>
      </c>
      <c r="K183" s="997"/>
    </row>
    <row r="184" spans="1:11" s="649" customFormat="1" ht="20.100000000000001" customHeight="1">
      <c r="A184" s="999"/>
      <c r="B184" s="1023"/>
      <c r="C184" s="656" t="s">
        <v>2062</v>
      </c>
      <c r="D184" s="1025" t="s">
        <v>2055</v>
      </c>
      <c r="E184" s="1025"/>
      <c r="F184" s="1025"/>
      <c r="G184" s="650"/>
      <c r="H184" s="650"/>
      <c r="I184" s="647"/>
      <c r="J184" s="658">
        <f>J183*0.1</f>
        <v>470429.95</v>
      </c>
      <c r="K184" s="997"/>
    </row>
    <row r="185" spans="1:11" s="649" customFormat="1" ht="20.100000000000001" customHeight="1">
      <c r="A185" s="999"/>
      <c r="B185" s="1023"/>
      <c r="C185" s="1025" t="s">
        <v>2063</v>
      </c>
      <c r="D185" s="999" t="s">
        <v>2064</v>
      </c>
      <c r="E185" s="999" t="s">
        <v>2065</v>
      </c>
      <c r="F185" s="999"/>
      <c r="G185" s="650"/>
      <c r="H185" s="650"/>
      <c r="I185" s="647"/>
      <c r="J185" s="647">
        <v>30000</v>
      </c>
      <c r="K185" s="997"/>
    </row>
    <row r="186" spans="1:11" s="649" customFormat="1" ht="20.100000000000001" customHeight="1">
      <c r="A186" s="999"/>
      <c r="B186" s="1023"/>
      <c r="C186" s="1025"/>
      <c r="D186" s="999"/>
      <c r="E186" s="999" t="s">
        <v>2066</v>
      </c>
      <c r="F186" s="999"/>
      <c r="G186" s="650"/>
      <c r="H186" s="650"/>
      <c r="I186" s="647"/>
      <c r="J186" s="647">
        <v>30000</v>
      </c>
      <c r="K186" s="997"/>
    </row>
    <row r="187" spans="1:11" s="649" customFormat="1" ht="20.100000000000001" customHeight="1">
      <c r="A187" s="999"/>
      <c r="B187" s="1023"/>
      <c r="C187" s="1025"/>
      <c r="D187" s="650" t="s">
        <v>2067</v>
      </c>
      <c r="E187" s="999" t="s">
        <v>2068</v>
      </c>
      <c r="F187" s="999"/>
      <c r="G187" s="650"/>
      <c r="H187" s="650"/>
      <c r="I187" s="647"/>
      <c r="J187" s="647">
        <v>20000</v>
      </c>
      <c r="K187" s="997"/>
    </row>
    <row r="188" spans="1:11" s="649" customFormat="1" ht="20.100000000000001" customHeight="1">
      <c r="A188" s="999"/>
      <c r="B188" s="1023"/>
      <c r="C188" s="1025"/>
      <c r="D188" s="999" t="s">
        <v>1415</v>
      </c>
      <c r="E188" s="999"/>
      <c r="F188" s="999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997"/>
    </row>
    <row r="189" spans="1:11" s="649" customFormat="1" ht="20.100000000000001" customHeight="1">
      <c r="A189" s="999"/>
      <c r="B189" s="1023"/>
      <c r="C189" s="1025"/>
      <c r="D189" s="999" t="s">
        <v>2069</v>
      </c>
      <c r="E189" s="999"/>
      <c r="F189" s="650" t="s">
        <v>2070</v>
      </c>
      <c r="G189" s="650"/>
      <c r="H189" s="650"/>
      <c r="I189" s="647"/>
      <c r="J189" s="647">
        <v>18000</v>
      </c>
      <c r="K189" s="997"/>
    </row>
    <row r="190" spans="1:11" s="649" customFormat="1" ht="20.100000000000001" customHeight="1">
      <c r="A190" s="999"/>
      <c r="B190" s="1023"/>
      <c r="C190" s="1025"/>
      <c r="D190" s="1032" t="s">
        <v>2071</v>
      </c>
      <c r="E190" s="1033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997"/>
    </row>
    <row r="191" spans="1:11" s="649" customFormat="1" ht="20.100000000000001" customHeight="1">
      <c r="A191" s="999"/>
      <c r="B191" s="1023"/>
      <c r="C191" s="1025" t="s">
        <v>24</v>
      </c>
      <c r="D191" s="1025"/>
      <c r="E191" s="1025"/>
      <c r="F191" s="1025"/>
      <c r="G191" s="650"/>
      <c r="H191" s="661"/>
      <c r="I191" s="647"/>
      <c r="J191" s="658">
        <f>SUM(J185:J190)</f>
        <v>204625.48</v>
      </c>
      <c r="K191" s="997"/>
    </row>
    <row r="192" spans="1:11" s="649" customFormat="1" ht="20.100000000000001" customHeight="1">
      <c r="A192" s="999"/>
      <c r="B192" s="1024"/>
      <c r="C192" s="1025" t="s">
        <v>2073</v>
      </c>
      <c r="D192" s="1025"/>
      <c r="E192" s="1025"/>
      <c r="F192" s="1025"/>
      <c r="G192" s="650"/>
      <c r="H192" s="650"/>
      <c r="I192" s="650"/>
      <c r="J192" s="658">
        <f>J183+J184+J191</f>
        <v>5379354.9300000006</v>
      </c>
      <c r="K192" s="998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67" t="s">
        <v>764</v>
      </c>
      <c r="B1" s="968"/>
      <c r="C1" s="968"/>
      <c r="D1" s="968"/>
      <c r="E1" s="968"/>
      <c r="F1" s="968"/>
      <c r="G1" s="968"/>
      <c r="H1" s="968"/>
      <c r="I1" s="968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34" t="s">
        <v>2080</v>
      </c>
      <c r="B1" s="1035"/>
      <c r="C1" s="1035"/>
      <c r="D1" s="1035"/>
      <c r="E1" s="1035"/>
      <c r="F1" s="1035"/>
      <c r="G1" s="1035"/>
      <c r="H1" s="1035"/>
      <c r="I1" s="1035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36" t="s">
        <v>2091</v>
      </c>
      <c r="B1" s="1037"/>
      <c r="C1" s="1037"/>
      <c r="D1" s="1037"/>
      <c r="E1" s="1037"/>
      <c r="F1" s="1037"/>
      <c r="G1" s="1037"/>
      <c r="H1" s="1037"/>
      <c r="I1" s="1037"/>
      <c r="J1" s="1037"/>
      <c r="K1" s="1037"/>
      <c r="L1" s="1037"/>
      <c r="M1" s="1037"/>
      <c r="N1" s="1037"/>
      <c r="O1" s="1037"/>
      <c r="P1" s="1037"/>
      <c r="Q1" s="1037"/>
      <c r="R1" s="1037"/>
      <c r="S1" s="1037"/>
      <c r="T1" s="1037"/>
      <c r="U1" s="1037"/>
      <c r="V1" s="1037"/>
      <c r="W1" s="1037"/>
      <c r="X1" s="1037"/>
      <c r="Y1" s="1037"/>
      <c r="Z1" s="1037"/>
      <c r="AA1" s="1037"/>
      <c r="AB1" s="1037"/>
      <c r="AC1" s="1037"/>
      <c r="AD1" s="1037"/>
      <c r="AE1" s="1037"/>
      <c r="AF1" s="1037"/>
      <c r="AG1" s="1037"/>
      <c r="AH1" s="1037"/>
      <c r="AI1" s="1037"/>
      <c r="AJ1" s="1037"/>
      <c r="AK1" s="1037"/>
      <c r="AL1" s="1037"/>
      <c r="AM1" s="1037"/>
      <c r="AN1" s="1037"/>
      <c r="AO1" s="1038"/>
      <c r="AP1" s="1038"/>
      <c r="AQ1" s="1038"/>
    </row>
    <row r="2" spans="1:43">
      <c r="A2" s="1039" t="s">
        <v>594</v>
      </c>
      <c r="B2" s="1039" t="s">
        <v>595</v>
      </c>
      <c r="C2" s="1039" t="s">
        <v>596</v>
      </c>
      <c r="D2" s="1039" t="s">
        <v>2092</v>
      </c>
      <c r="E2" s="1039" t="s">
        <v>597</v>
      </c>
      <c r="F2" s="1039"/>
      <c r="G2" s="1039"/>
      <c r="H2" s="1039"/>
      <c r="I2" s="1039"/>
      <c r="J2" s="1039" t="s">
        <v>2093</v>
      </c>
      <c r="K2" s="1039"/>
      <c r="L2" s="1039"/>
      <c r="M2" s="1039"/>
      <c r="N2" s="1039"/>
      <c r="O2" s="823" t="s">
        <v>2094</v>
      </c>
      <c r="P2" s="823"/>
      <c r="Q2" s="823"/>
      <c r="R2" s="823"/>
      <c r="S2" s="823"/>
      <c r="T2" s="823" t="s">
        <v>598</v>
      </c>
      <c r="U2" s="823"/>
      <c r="V2" s="823"/>
      <c r="W2" s="823"/>
      <c r="X2" s="823"/>
      <c r="Y2" s="823" t="s">
        <v>599</v>
      </c>
      <c r="Z2" s="823"/>
      <c r="AA2" s="823"/>
      <c r="AB2" s="823"/>
      <c r="AC2" s="823"/>
      <c r="AD2" s="1039" t="s">
        <v>2095</v>
      </c>
      <c r="AE2" s="1039"/>
      <c r="AF2" s="1039"/>
      <c r="AG2" s="1039"/>
      <c r="AH2" s="1039"/>
      <c r="AI2" s="1039"/>
      <c r="AJ2" s="1039"/>
      <c r="AK2" s="1039"/>
      <c r="AL2" s="1039"/>
      <c r="AM2" s="1039"/>
      <c r="AN2" s="1040">
        <v>0.6</v>
      </c>
      <c r="AO2" s="1042" t="s">
        <v>2096</v>
      </c>
      <c r="AP2" s="1043" t="s">
        <v>2163</v>
      </c>
      <c r="AQ2" s="1044" t="s">
        <v>2164</v>
      </c>
    </row>
    <row r="3" spans="1:43" ht="33.75">
      <c r="A3" s="1039"/>
      <c r="B3" s="1039"/>
      <c r="C3" s="1039"/>
      <c r="D3" s="1039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41"/>
      <c r="AO3" s="1041"/>
      <c r="AP3" s="1041"/>
      <c r="AQ3" s="1045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V81"/>
  <sheetViews>
    <sheetView topLeftCell="G25" workbookViewId="0">
      <selection sqref="A1:U1"/>
    </sheetView>
  </sheetViews>
  <sheetFormatPr defaultColWidth="12.625" defaultRowHeight="11.25"/>
  <cols>
    <col min="1" max="1" width="4.5" style="115" customWidth="1"/>
    <col min="2" max="2" width="10.875" style="86" customWidth="1"/>
    <col min="3" max="3" width="5.125" style="86" customWidth="1"/>
    <col min="4" max="4" width="8.125" style="116" customWidth="1"/>
    <col min="5" max="16384" width="12.625" style="86"/>
  </cols>
  <sheetData>
    <row r="1" spans="1:22" ht="25.5">
      <c r="A1" s="807" t="s">
        <v>2409</v>
      </c>
      <c r="B1" s="808"/>
      <c r="C1" s="808"/>
      <c r="D1" s="808"/>
      <c r="E1" s="808"/>
      <c r="F1" s="808"/>
      <c r="G1" s="808"/>
      <c r="H1" s="808"/>
      <c r="I1" s="808"/>
      <c r="J1" s="808"/>
      <c r="K1" s="808"/>
      <c r="L1" s="808"/>
      <c r="M1" s="808"/>
      <c r="N1" s="808"/>
      <c r="O1" s="808"/>
      <c r="P1" s="808"/>
      <c r="Q1" s="808"/>
      <c r="R1" s="808"/>
      <c r="S1" s="808"/>
      <c r="T1" s="808"/>
      <c r="U1" s="808"/>
    </row>
    <row r="2" spans="1:22">
      <c r="A2" s="87" t="s">
        <v>1</v>
      </c>
      <c r="B2" s="87" t="s">
        <v>2</v>
      </c>
      <c r="C2" s="87" t="s">
        <v>3</v>
      </c>
      <c r="D2" s="88" t="s">
        <v>4</v>
      </c>
      <c r="E2" s="88" t="s">
        <v>336</v>
      </c>
      <c r="F2" s="88" t="s">
        <v>337</v>
      </c>
      <c r="G2" s="88" t="s">
        <v>338</v>
      </c>
      <c r="H2" s="88" t="s">
        <v>339</v>
      </c>
      <c r="I2" s="88" t="s">
        <v>340</v>
      </c>
      <c r="J2" s="88" t="s">
        <v>341</v>
      </c>
      <c r="K2" s="88" t="s">
        <v>342</v>
      </c>
      <c r="L2" s="88" t="s">
        <v>343</v>
      </c>
      <c r="M2" s="88" t="s">
        <v>344</v>
      </c>
      <c r="N2" s="88" t="s">
        <v>345</v>
      </c>
      <c r="O2" s="88" t="s">
        <v>346</v>
      </c>
      <c r="P2" s="88" t="s">
        <v>275</v>
      </c>
      <c r="Q2" s="88" t="s">
        <v>2308</v>
      </c>
      <c r="R2" s="88" t="s">
        <v>2309</v>
      </c>
      <c r="S2" s="88" t="s">
        <v>2310</v>
      </c>
      <c r="T2" s="88" t="s">
        <v>24</v>
      </c>
      <c r="U2" s="89" t="s">
        <v>2311</v>
      </c>
      <c r="V2" s="89" t="s">
        <v>2312</v>
      </c>
    </row>
    <row r="3" spans="1:22">
      <c r="A3" s="90" t="s">
        <v>26</v>
      </c>
      <c r="B3" s="91" t="s">
        <v>27</v>
      </c>
      <c r="C3" s="91"/>
      <c r="D3" s="92" t="s">
        <v>28</v>
      </c>
      <c r="E3" s="19">
        <f>E4+E31+E42</f>
        <v>54570044.439999998</v>
      </c>
      <c r="F3" s="19">
        <f t="shared" ref="F3:S3" si="0">F4+F31+F42</f>
        <v>33738851.119999997</v>
      </c>
      <c r="G3" s="19">
        <f t="shared" si="0"/>
        <v>35418397</v>
      </c>
      <c r="H3" s="19">
        <f t="shared" si="0"/>
        <v>39518020.480000004</v>
      </c>
      <c r="I3" s="19">
        <f t="shared" si="0"/>
        <v>83825325.299999997</v>
      </c>
      <c r="J3" s="19">
        <f t="shared" si="0"/>
        <v>22109933.369999997</v>
      </c>
      <c r="K3" s="19">
        <f t="shared" si="0"/>
        <v>21742021.5</v>
      </c>
      <c r="L3" s="19">
        <f t="shared" si="0"/>
        <v>18493941.599999998</v>
      </c>
      <c r="M3" s="19">
        <f t="shared" si="0"/>
        <v>16374599.859999999</v>
      </c>
      <c r="N3" s="19">
        <f t="shared" si="0"/>
        <v>16363769.729999999</v>
      </c>
      <c r="O3" s="19">
        <f t="shared" si="0"/>
        <v>57607113.529999994</v>
      </c>
      <c r="P3" s="19">
        <f t="shared" si="0"/>
        <v>2016893.74</v>
      </c>
      <c r="Q3" s="19">
        <f t="shared" si="0"/>
        <v>5577242.0599999996</v>
      </c>
      <c r="R3" s="19">
        <f t="shared" si="0"/>
        <v>31378617.850000001</v>
      </c>
      <c r="S3" s="19">
        <f t="shared" si="0"/>
        <v>11750679.290000001</v>
      </c>
      <c r="T3" s="749">
        <f t="shared" ref="T3:T66" si="1">SUM(E3:S3)</f>
        <v>450485450.87000012</v>
      </c>
      <c r="U3" s="750">
        <v>424687544.67999995</v>
      </c>
      <c r="V3" s="747">
        <f>ROUND(T3-U3,2)</f>
        <v>25797906.190000001</v>
      </c>
    </row>
    <row r="4" spans="1:22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45666439.959999993</v>
      </c>
      <c r="F4" s="19">
        <f t="shared" ref="F4:S4" si="2">F5+F8+F12+F15+F20+F25+F27+F29+F30</f>
        <v>28135157.999999996</v>
      </c>
      <c r="G4" s="19">
        <f t="shared" si="2"/>
        <v>29799870.610000003</v>
      </c>
      <c r="H4" s="19">
        <f t="shared" si="2"/>
        <v>34092201.760000005</v>
      </c>
      <c r="I4" s="19">
        <f t="shared" si="2"/>
        <v>70299030.659999996</v>
      </c>
      <c r="J4" s="19">
        <f t="shared" si="2"/>
        <v>18951984.279999997</v>
      </c>
      <c r="K4" s="19">
        <f t="shared" si="2"/>
        <v>18747364.670000002</v>
      </c>
      <c r="L4" s="19">
        <f t="shared" si="2"/>
        <v>15623354.879999999</v>
      </c>
      <c r="M4" s="19">
        <f t="shared" si="2"/>
        <v>13921935.23</v>
      </c>
      <c r="N4" s="19">
        <f t="shared" si="2"/>
        <v>14191403.169999998</v>
      </c>
      <c r="O4" s="19">
        <f t="shared" si="2"/>
        <v>49708420.659999996</v>
      </c>
      <c r="P4" s="19">
        <f t="shared" si="2"/>
        <v>1775183.96</v>
      </c>
      <c r="Q4" s="19">
        <f t="shared" si="2"/>
        <v>4506599.34</v>
      </c>
      <c r="R4" s="19">
        <f t="shared" si="2"/>
        <v>26240841.550000001</v>
      </c>
      <c r="S4" s="19">
        <f t="shared" si="2"/>
        <v>9760781.8900000006</v>
      </c>
      <c r="T4" s="749">
        <f t="shared" si="1"/>
        <v>381420570.61999995</v>
      </c>
      <c r="U4" s="1046">
        <v>365006949.19999999</v>
      </c>
      <c r="V4" s="1046">
        <f>ROUND(T4-U4,2)</f>
        <v>16413621.42</v>
      </c>
    </row>
    <row r="5" spans="1:22">
      <c r="A5" s="90" t="s">
        <v>31</v>
      </c>
      <c r="B5" s="91" t="s">
        <v>32</v>
      </c>
      <c r="C5" s="91"/>
      <c r="D5" s="92" t="s">
        <v>28</v>
      </c>
      <c r="E5" s="19">
        <f>E6+E7</f>
        <v>6200573</v>
      </c>
      <c r="F5" s="19">
        <f t="shared" ref="F5:S5" si="3">F6+F7</f>
        <v>3781080</v>
      </c>
      <c r="G5" s="19">
        <f t="shared" si="3"/>
        <v>4245808</v>
      </c>
      <c r="H5" s="19">
        <f t="shared" si="3"/>
        <v>4570560</v>
      </c>
      <c r="I5" s="19">
        <f t="shared" si="3"/>
        <v>8693859.5399999991</v>
      </c>
      <c r="J5" s="19">
        <f t="shared" si="3"/>
        <v>2204684</v>
      </c>
      <c r="K5" s="19">
        <f t="shared" si="3"/>
        <v>2578297</v>
      </c>
      <c r="L5" s="19">
        <f t="shared" si="3"/>
        <v>2157863</v>
      </c>
      <c r="M5" s="19">
        <f t="shared" si="3"/>
        <v>1813080</v>
      </c>
      <c r="N5" s="19">
        <f t="shared" si="3"/>
        <v>1856970</v>
      </c>
      <c r="O5" s="19">
        <f t="shared" si="3"/>
        <v>6125942</v>
      </c>
      <c r="P5" s="19">
        <f t="shared" si="3"/>
        <v>231726</v>
      </c>
      <c r="Q5" s="19">
        <f t="shared" si="3"/>
        <v>537956</v>
      </c>
      <c r="R5" s="19">
        <f t="shared" si="3"/>
        <v>2575848</v>
      </c>
      <c r="S5" s="19">
        <f t="shared" si="3"/>
        <v>1271580.5</v>
      </c>
      <c r="T5" s="749">
        <f t="shared" si="1"/>
        <v>48845827.039999999</v>
      </c>
      <c r="U5" s="1047"/>
      <c r="V5" s="1047"/>
    </row>
    <row r="6" spans="1:22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[3]明细!I257</f>
        <v>3448555</v>
      </c>
      <c r="F6" s="22">
        <f>[3]明细!H300</f>
        <v>2114631</v>
      </c>
      <c r="G6" s="22">
        <f>[3]明细!H65</f>
        <v>2196124</v>
      </c>
      <c r="H6" s="22">
        <f>[3]明细!H23</f>
        <v>2467821</v>
      </c>
      <c r="I6" s="22">
        <f>[3]明细!H44</f>
        <v>5237501.9399999995</v>
      </c>
      <c r="J6" s="22">
        <f>[3]明细!I214</f>
        <v>1447668</v>
      </c>
      <c r="K6" s="22">
        <f>[3]明细!I128</f>
        <v>1468907</v>
      </c>
      <c r="L6" s="22">
        <f>[3]明细!I191</f>
        <v>1237304</v>
      </c>
      <c r="M6" s="22">
        <f>[3]明细!I148</f>
        <v>1110384</v>
      </c>
      <c r="N6" s="22">
        <f>[3]明细!I86</f>
        <v>1117788</v>
      </c>
      <c r="O6" s="22">
        <f>[3]明细!H278</f>
        <v>3709652</v>
      </c>
      <c r="P6" s="22">
        <f>[3]明细!H2</f>
        <v>124740</v>
      </c>
      <c r="Q6" s="22">
        <f>[3]明细!I107</f>
        <v>363156</v>
      </c>
      <c r="R6" s="22">
        <f>[3]明细!I235</f>
        <v>1704091</v>
      </c>
      <c r="S6" s="22">
        <f>[3]明细!I169</f>
        <v>764918</v>
      </c>
      <c r="T6" s="749">
        <f t="shared" si="1"/>
        <v>28513240.939999998</v>
      </c>
      <c r="U6" s="1047"/>
      <c r="V6" s="1047"/>
    </row>
    <row r="7" spans="1:22" ht="22.5">
      <c r="A7" s="90" t="s">
        <v>37</v>
      </c>
      <c r="B7" s="91" t="s">
        <v>38</v>
      </c>
      <c r="C7" s="91" t="s">
        <v>35</v>
      </c>
      <c r="D7" s="92" t="s">
        <v>36</v>
      </c>
      <c r="E7" s="22">
        <f>[3]明细!I258</f>
        <v>2752018</v>
      </c>
      <c r="F7" s="22">
        <f>[3]明细!H301</f>
        <v>1666449</v>
      </c>
      <c r="G7" s="22">
        <f>[3]明细!H66</f>
        <v>2049684</v>
      </c>
      <c r="H7" s="22">
        <f>[3]明细!H24</f>
        <v>2102739</v>
      </c>
      <c r="I7" s="22">
        <f>[3]明细!H45</f>
        <v>3456357.6</v>
      </c>
      <c r="J7" s="22">
        <f>[3]明细!I215</f>
        <v>757016</v>
      </c>
      <c r="K7" s="22">
        <f>[3]明细!I129</f>
        <v>1109390</v>
      </c>
      <c r="L7" s="22">
        <f>[3]明细!I192</f>
        <v>920559</v>
      </c>
      <c r="M7" s="22">
        <f>[3]明细!I149</f>
        <v>702696</v>
      </c>
      <c r="N7" s="22">
        <f>[3]明细!I87</f>
        <v>739182</v>
      </c>
      <c r="O7" s="22">
        <f>[3]明细!H279</f>
        <v>2416290</v>
      </c>
      <c r="P7" s="22">
        <f>[3]明细!H3</f>
        <v>106986</v>
      </c>
      <c r="Q7" s="22">
        <f>[3]明细!I108</f>
        <v>174800</v>
      </c>
      <c r="R7" s="22">
        <f>[3]明细!I236</f>
        <v>871757</v>
      </c>
      <c r="S7" s="22">
        <f>[3]明细!I170</f>
        <v>506662.50000000012</v>
      </c>
      <c r="T7" s="749">
        <f t="shared" si="1"/>
        <v>20332586.100000001</v>
      </c>
      <c r="U7" s="1047"/>
      <c r="V7" s="1047"/>
    </row>
    <row r="8" spans="1:22">
      <c r="A8" s="90" t="s">
        <v>39</v>
      </c>
      <c r="B8" s="91" t="s">
        <v>40</v>
      </c>
      <c r="C8" s="91"/>
      <c r="D8" s="92" t="s">
        <v>28</v>
      </c>
      <c r="E8" s="19">
        <f>E9+E10</f>
        <v>623589</v>
      </c>
      <c r="F8" s="19">
        <f t="shared" ref="F8:S8" si="4">F9+F10</f>
        <v>399497</v>
      </c>
      <c r="G8" s="19">
        <f t="shared" si="4"/>
        <v>429476</v>
      </c>
      <c r="H8" s="19">
        <f t="shared" si="4"/>
        <v>487006</v>
      </c>
      <c r="I8" s="19">
        <f t="shared" si="4"/>
        <v>1021561</v>
      </c>
      <c r="J8" s="19">
        <f t="shared" si="4"/>
        <v>295312</v>
      </c>
      <c r="K8" s="19">
        <f t="shared" si="4"/>
        <v>303150</v>
      </c>
      <c r="L8" s="19">
        <f t="shared" si="4"/>
        <v>249304</v>
      </c>
      <c r="M8" s="19">
        <f t="shared" si="4"/>
        <v>223323</v>
      </c>
      <c r="N8" s="19">
        <f t="shared" si="4"/>
        <v>232248</v>
      </c>
      <c r="O8" s="19">
        <f t="shared" si="4"/>
        <v>725586</v>
      </c>
      <c r="P8" s="19">
        <f t="shared" si="4"/>
        <v>24036</v>
      </c>
      <c r="Q8" s="19">
        <f t="shared" si="4"/>
        <v>76684</v>
      </c>
      <c r="R8" s="19">
        <f t="shared" si="4"/>
        <v>396680</v>
      </c>
      <c r="S8" s="19">
        <f t="shared" si="4"/>
        <v>161187</v>
      </c>
      <c r="T8" s="749">
        <f t="shared" si="1"/>
        <v>5648639</v>
      </c>
      <c r="U8" s="1047"/>
      <c r="V8" s="1047"/>
    </row>
    <row r="9" spans="1:22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[3]明细!I259</f>
        <v>9789</v>
      </c>
      <c r="F9" s="22">
        <f>[3]明细!H302</f>
        <v>5697</v>
      </c>
      <c r="G9" s="22">
        <f>[3]明细!H67</f>
        <v>7376</v>
      </c>
      <c r="H9" s="22">
        <f>[3]明细!H25</f>
        <v>6526</v>
      </c>
      <c r="I9" s="22">
        <f>[3]明细!H46</f>
        <v>10881</v>
      </c>
      <c r="J9" s="22">
        <f>[3]明细!I216</f>
        <v>2272</v>
      </c>
      <c r="K9" s="22">
        <f>[3]明细!I130</f>
        <v>4390</v>
      </c>
      <c r="L9" s="22">
        <f>[3]明细!I193</f>
        <v>3344</v>
      </c>
      <c r="M9" s="22">
        <f>[3]明细!I150</f>
        <v>10803</v>
      </c>
      <c r="N9" s="22">
        <f>[3]明细!I88</f>
        <v>2568</v>
      </c>
      <c r="O9" s="22">
        <f>[3]明细!H280</f>
        <v>7946</v>
      </c>
      <c r="P9" s="22">
        <f>[3]明细!H4</f>
        <v>276</v>
      </c>
      <c r="Q9" s="22">
        <f>[3]明细!I109</f>
        <v>564</v>
      </c>
      <c r="R9" s="22">
        <f>[3]明细!I237</f>
        <v>2000</v>
      </c>
      <c r="S9" s="22">
        <f>[3]明细!I171</f>
        <v>1467</v>
      </c>
      <c r="T9" s="749">
        <f t="shared" si="1"/>
        <v>75899</v>
      </c>
      <c r="U9" s="1047"/>
      <c r="V9" s="1047"/>
    </row>
    <row r="10" spans="1:22">
      <c r="A10" s="90" t="s">
        <v>43</v>
      </c>
      <c r="B10" s="91" t="s">
        <v>44</v>
      </c>
      <c r="C10" s="91"/>
      <c r="D10" s="92" t="s">
        <v>28</v>
      </c>
      <c r="E10" s="19">
        <f>E11</f>
        <v>613800</v>
      </c>
      <c r="F10" s="19">
        <f t="shared" ref="F10:S10" si="5">F11</f>
        <v>393800</v>
      </c>
      <c r="G10" s="19">
        <f t="shared" si="5"/>
        <v>422100</v>
      </c>
      <c r="H10" s="19">
        <f t="shared" si="5"/>
        <v>480480</v>
      </c>
      <c r="I10" s="19">
        <f t="shared" si="5"/>
        <v>1010680</v>
      </c>
      <c r="J10" s="19">
        <f t="shared" si="5"/>
        <v>293040</v>
      </c>
      <c r="K10" s="19">
        <f t="shared" si="5"/>
        <v>298760</v>
      </c>
      <c r="L10" s="19">
        <f t="shared" si="5"/>
        <v>245960</v>
      </c>
      <c r="M10" s="19">
        <f t="shared" si="5"/>
        <v>212520</v>
      </c>
      <c r="N10" s="19">
        <f t="shared" si="5"/>
        <v>229680</v>
      </c>
      <c r="O10" s="19">
        <f t="shared" si="5"/>
        <v>717640</v>
      </c>
      <c r="P10" s="19">
        <f t="shared" si="5"/>
        <v>23760</v>
      </c>
      <c r="Q10" s="19">
        <f t="shared" si="5"/>
        <v>76120</v>
      </c>
      <c r="R10" s="19">
        <f t="shared" si="5"/>
        <v>394680</v>
      </c>
      <c r="S10" s="19">
        <f t="shared" si="5"/>
        <v>159720</v>
      </c>
      <c r="T10" s="749">
        <f t="shared" si="1"/>
        <v>5572740</v>
      </c>
      <c r="U10" s="1047"/>
      <c r="V10" s="1047"/>
    </row>
    <row r="11" spans="1:22" s="96" customFormat="1" ht="22.5">
      <c r="A11" s="90" t="s">
        <v>45</v>
      </c>
      <c r="B11" s="95" t="s">
        <v>2313</v>
      </c>
      <c r="C11" s="95" t="s">
        <v>35</v>
      </c>
      <c r="D11" s="92" t="s">
        <v>36</v>
      </c>
      <c r="E11" s="22">
        <f>[3]明细!I260</f>
        <v>613800</v>
      </c>
      <c r="F11" s="22">
        <f>[3]明细!H303</f>
        <v>393800</v>
      </c>
      <c r="G11" s="22">
        <f>[3]明细!H68</f>
        <v>422100</v>
      </c>
      <c r="H11" s="22">
        <f>[3]明细!H26</f>
        <v>480480</v>
      </c>
      <c r="I11" s="22">
        <f>[3]明细!H47</f>
        <v>1010680</v>
      </c>
      <c r="J11" s="22">
        <f>[3]明细!I217</f>
        <v>293040</v>
      </c>
      <c r="K11" s="22">
        <f>[3]明细!I131</f>
        <v>298760</v>
      </c>
      <c r="L11" s="22">
        <f>[3]明细!I194</f>
        <v>245960</v>
      </c>
      <c r="M11" s="22">
        <f>[3]明细!I151</f>
        <v>212520</v>
      </c>
      <c r="N11" s="22">
        <f>[3]明细!I89</f>
        <v>229680</v>
      </c>
      <c r="O11" s="22">
        <f>[3]明细!H281</f>
        <v>717640</v>
      </c>
      <c r="P11" s="22">
        <f>[3]明细!H5</f>
        <v>23760</v>
      </c>
      <c r="Q11" s="22">
        <f>[3]明细!I110</f>
        <v>76120</v>
      </c>
      <c r="R11" s="22">
        <f>[3]明细!I238</f>
        <v>394680</v>
      </c>
      <c r="S11" s="22">
        <f>[3]明细!I172</f>
        <v>159720</v>
      </c>
      <c r="T11" s="749">
        <f t="shared" si="1"/>
        <v>5572740</v>
      </c>
      <c r="U11" s="1047"/>
      <c r="V11" s="1047"/>
    </row>
    <row r="12" spans="1:22" ht="33.75">
      <c r="A12" s="90" t="s">
        <v>47</v>
      </c>
      <c r="B12" s="91" t="s">
        <v>48</v>
      </c>
      <c r="C12" s="91"/>
      <c r="D12" s="92" t="s">
        <v>49</v>
      </c>
      <c r="E12" s="19">
        <f>E13+E14</f>
        <v>235336.27999999997</v>
      </c>
      <c r="F12" s="19">
        <f t="shared" ref="F12:S12" si="6">F13+F14</f>
        <v>118351.95000000001</v>
      </c>
      <c r="G12" s="19">
        <f t="shared" si="6"/>
        <v>134543.03000000003</v>
      </c>
      <c r="H12" s="19">
        <f t="shared" si="6"/>
        <v>156615.75</v>
      </c>
      <c r="I12" s="19">
        <f t="shared" si="6"/>
        <v>327609.66999999993</v>
      </c>
      <c r="J12" s="19">
        <f t="shared" si="6"/>
        <v>73559.31</v>
      </c>
      <c r="K12" s="19">
        <f t="shared" si="6"/>
        <v>96754.5</v>
      </c>
      <c r="L12" s="19">
        <f t="shared" si="6"/>
        <v>73547.860000000015</v>
      </c>
      <c r="M12" s="19">
        <f t="shared" si="6"/>
        <v>65562.69</v>
      </c>
      <c r="N12" s="19">
        <f t="shared" si="6"/>
        <v>59087.44</v>
      </c>
      <c r="O12" s="19">
        <f t="shared" si="6"/>
        <v>232587.26</v>
      </c>
      <c r="P12" s="19">
        <f t="shared" si="6"/>
        <v>8003.1999999999989</v>
      </c>
      <c r="Q12" s="19">
        <f t="shared" si="6"/>
        <v>20860.02</v>
      </c>
      <c r="R12" s="19">
        <f t="shared" si="6"/>
        <v>103723.84</v>
      </c>
      <c r="S12" s="19">
        <f t="shared" si="6"/>
        <v>44419.950000000004</v>
      </c>
      <c r="T12" s="749">
        <f t="shared" si="1"/>
        <v>1750562.75</v>
      </c>
      <c r="U12" s="1047"/>
      <c r="V12" s="1047"/>
    </row>
    <row r="13" spans="1:22" s="96" customFormat="1" ht="22.5">
      <c r="A13" s="90" t="s">
        <v>50</v>
      </c>
      <c r="B13" s="95" t="s">
        <v>2314</v>
      </c>
      <c r="C13" s="95" t="s">
        <v>35</v>
      </c>
      <c r="D13" s="92" t="s">
        <v>2315</v>
      </c>
      <c r="E13" s="22">
        <f>[3]明细!I261</f>
        <v>85336.909999999974</v>
      </c>
      <c r="F13" s="22">
        <f>[3]明细!H304</f>
        <v>28691.420000000006</v>
      </c>
      <c r="G13" s="22">
        <f>[3]明细!H69</f>
        <v>42311.14</v>
      </c>
      <c r="H13" s="22">
        <f>[3]明细!H27</f>
        <v>53033.569999999992</v>
      </c>
      <c r="I13" s="22">
        <f>[3]明细!H48</f>
        <v>120753.16</v>
      </c>
      <c r="J13" s="22">
        <f>[3]明细!I218</f>
        <v>21571.45</v>
      </c>
      <c r="K13" s="22">
        <f>[3]明细!I132</f>
        <v>35679.67</v>
      </c>
      <c r="L13" s="22">
        <f>[3]明细!I195</f>
        <v>24904.879999999997</v>
      </c>
      <c r="M13" s="22">
        <f>[3]明细!I152</f>
        <v>22200.97</v>
      </c>
      <c r="N13" s="22">
        <f>[3]明细!I90</f>
        <v>14324.250000000004</v>
      </c>
      <c r="O13" s="22">
        <f>[3]明细!H282</f>
        <v>78759.880000000019</v>
      </c>
      <c r="P13" s="22">
        <f>[3]明细!H6</f>
        <v>1940.1899999999998</v>
      </c>
      <c r="Q13" s="22">
        <f>[3]明细!I111</f>
        <v>7340.59</v>
      </c>
      <c r="R13" s="22">
        <f>[3]明细!I239</f>
        <v>35048.69</v>
      </c>
      <c r="S13" s="22">
        <f>[3]明细!I173</f>
        <v>14882.300000000003</v>
      </c>
      <c r="T13" s="749">
        <f t="shared" si="1"/>
        <v>586779.06999999983</v>
      </c>
      <c r="U13" s="1047"/>
      <c r="V13" s="1047"/>
    </row>
    <row r="14" spans="1:22" s="96" customFormat="1" ht="22.5">
      <c r="A14" s="90" t="s">
        <v>52</v>
      </c>
      <c r="B14" s="95" t="s">
        <v>2316</v>
      </c>
      <c r="C14" s="95" t="s">
        <v>35</v>
      </c>
      <c r="D14" s="92" t="s">
        <v>2315</v>
      </c>
      <c r="E14" s="22">
        <f>[3]明细!I262</f>
        <v>149999.37</v>
      </c>
      <c r="F14" s="22">
        <f>[3]明细!H305</f>
        <v>89660.53</v>
      </c>
      <c r="G14" s="22">
        <f>[3]明细!H70</f>
        <v>92231.890000000014</v>
      </c>
      <c r="H14" s="22">
        <f>[3]明细!H28</f>
        <v>103582.18000000002</v>
      </c>
      <c r="I14" s="22">
        <f>[3]明细!H49</f>
        <v>206856.50999999995</v>
      </c>
      <c r="J14" s="22">
        <f>[3]明细!I219</f>
        <v>51987.86</v>
      </c>
      <c r="K14" s="22">
        <f>[3]明细!I133</f>
        <v>61074.830000000009</v>
      </c>
      <c r="L14" s="22">
        <f>[3]明细!I196</f>
        <v>48642.98000000001</v>
      </c>
      <c r="M14" s="22">
        <f>[3]明细!I153</f>
        <v>43361.72</v>
      </c>
      <c r="N14" s="22">
        <f>[3]明细!I91</f>
        <v>44763.189999999995</v>
      </c>
      <c r="O14" s="22">
        <f>[3]明细!H283</f>
        <v>153827.37999999998</v>
      </c>
      <c r="P14" s="22">
        <f>[3]明细!H7</f>
        <v>6063.0099999999993</v>
      </c>
      <c r="Q14" s="22">
        <f>[3]明细!I112</f>
        <v>13519.43</v>
      </c>
      <c r="R14" s="22">
        <f>[3]明细!I240</f>
        <v>68675.149999999994</v>
      </c>
      <c r="S14" s="22">
        <f>[3]明细!I174</f>
        <v>29537.65</v>
      </c>
      <c r="T14" s="749">
        <f t="shared" si="1"/>
        <v>1163783.6799999995</v>
      </c>
      <c r="U14" s="1047"/>
      <c r="V14" s="1047"/>
    </row>
    <row r="15" spans="1:22">
      <c r="A15" s="90" t="s">
        <v>53</v>
      </c>
      <c r="B15" s="91" t="s">
        <v>55</v>
      </c>
      <c r="C15" s="91"/>
      <c r="D15" s="92" t="s">
        <v>28</v>
      </c>
      <c r="E15" s="19">
        <f>E16+E17+E18+E19</f>
        <v>25581180</v>
      </c>
      <c r="F15" s="19">
        <f t="shared" ref="F15:S15" si="7">F16+F17+F18+F19</f>
        <v>16295520</v>
      </c>
      <c r="G15" s="19">
        <f t="shared" si="7"/>
        <v>17177670</v>
      </c>
      <c r="H15" s="19">
        <f t="shared" si="7"/>
        <v>20126755</v>
      </c>
      <c r="I15" s="19">
        <f t="shared" si="7"/>
        <v>42826675</v>
      </c>
      <c r="J15" s="19">
        <f t="shared" si="7"/>
        <v>12146880</v>
      </c>
      <c r="K15" s="19">
        <f t="shared" si="7"/>
        <v>10708695</v>
      </c>
      <c r="L15" s="19">
        <f t="shared" si="7"/>
        <v>8927510</v>
      </c>
      <c r="M15" s="19">
        <f t="shared" si="7"/>
        <v>8171290</v>
      </c>
      <c r="N15" s="19">
        <f t="shared" si="7"/>
        <v>8266305</v>
      </c>
      <c r="O15" s="19">
        <f t="shared" si="7"/>
        <v>30114780</v>
      </c>
      <c r="P15" s="19">
        <f t="shared" si="7"/>
        <v>1002650</v>
      </c>
      <c r="Q15" s="19">
        <f t="shared" si="7"/>
        <v>2754935</v>
      </c>
      <c r="R15" s="19">
        <f t="shared" si="7"/>
        <v>16503250</v>
      </c>
      <c r="S15" s="19">
        <f t="shared" si="7"/>
        <v>5794415</v>
      </c>
      <c r="T15" s="749">
        <f t="shared" si="1"/>
        <v>226398510</v>
      </c>
      <c r="U15" s="1047"/>
      <c r="V15" s="1047"/>
    </row>
    <row r="16" spans="1:22" ht="22.5">
      <c r="A16" s="90" t="s">
        <v>54</v>
      </c>
      <c r="B16" s="97" t="s">
        <v>57</v>
      </c>
      <c r="C16" s="97" t="s">
        <v>35</v>
      </c>
      <c r="D16" s="98" t="s">
        <v>2317</v>
      </c>
      <c r="E16" s="99">
        <v>22685560</v>
      </c>
      <c r="F16" s="99">
        <v>14582978</v>
      </c>
      <c r="G16" s="99">
        <v>15206870</v>
      </c>
      <c r="H16" s="99">
        <v>18148817</v>
      </c>
      <c r="I16" s="99">
        <v>39157799</v>
      </c>
      <c r="J16" s="99">
        <v>10982608</v>
      </c>
      <c r="K16" s="99">
        <v>10154283</v>
      </c>
      <c r="L16" s="99">
        <v>8357910</v>
      </c>
      <c r="M16" s="99">
        <v>7624614</v>
      </c>
      <c r="N16" s="99">
        <v>7750903</v>
      </c>
      <c r="O16" s="99">
        <v>26737812</v>
      </c>
      <c r="P16" s="99">
        <v>975650</v>
      </c>
      <c r="Q16" s="99">
        <v>2445959</v>
      </c>
      <c r="R16" s="99">
        <v>14797118</v>
      </c>
      <c r="S16" s="99">
        <v>5376171</v>
      </c>
      <c r="T16" s="749">
        <f t="shared" si="1"/>
        <v>204985052</v>
      </c>
      <c r="U16" s="1047"/>
      <c r="V16" s="1047"/>
    </row>
    <row r="17" spans="1:22" ht="33.7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599120</v>
      </c>
      <c r="F17" s="99">
        <v>271042</v>
      </c>
      <c r="G17" s="99">
        <v>650800</v>
      </c>
      <c r="H17" s="99">
        <v>619438</v>
      </c>
      <c r="I17" s="99">
        <v>486376</v>
      </c>
      <c r="J17" s="99">
        <v>258272</v>
      </c>
      <c r="K17" s="99">
        <v>243412</v>
      </c>
      <c r="L17" s="99">
        <v>291500</v>
      </c>
      <c r="M17" s="99">
        <v>288676</v>
      </c>
      <c r="N17" s="99">
        <v>254402</v>
      </c>
      <c r="O17" s="99">
        <v>561468</v>
      </c>
      <c r="P17" s="99"/>
      <c r="Q17" s="99">
        <v>222476</v>
      </c>
      <c r="R17" s="99">
        <v>257632</v>
      </c>
      <c r="S17" s="99">
        <v>236744</v>
      </c>
      <c r="T17" s="749">
        <f t="shared" si="1"/>
        <v>5241358</v>
      </c>
      <c r="U17" s="1047"/>
      <c r="V17" s="1047"/>
    </row>
    <row r="18" spans="1:22" ht="22.5">
      <c r="A18" s="90" t="s">
        <v>59</v>
      </c>
      <c r="B18" s="97" t="s">
        <v>2318</v>
      </c>
      <c r="C18" s="97" t="s">
        <v>35</v>
      </c>
      <c r="D18" s="92" t="s">
        <v>36</v>
      </c>
      <c r="E18" s="99">
        <f>[3]明细!I268</f>
        <v>696500</v>
      </c>
      <c r="F18" s="99">
        <v>441500</v>
      </c>
      <c r="G18" s="99">
        <f>[3]明细!H76</f>
        <v>480000</v>
      </c>
      <c r="H18" s="99">
        <f>[3]明细!H34</f>
        <v>558500</v>
      </c>
      <c r="I18" s="99">
        <f>[3]明细!H55</f>
        <v>1182500</v>
      </c>
      <c r="J18" s="99">
        <v>346000</v>
      </c>
      <c r="K18" s="99">
        <f>[3]明细!I139</f>
        <v>311000</v>
      </c>
      <c r="L18" s="99">
        <f>[3]明细!I202</f>
        <v>278100</v>
      </c>
      <c r="M18" s="99">
        <f>[3]明细!I159</f>
        <v>258000</v>
      </c>
      <c r="N18" s="99">
        <f>[3]明细!I97</f>
        <v>261000</v>
      </c>
      <c r="O18" s="99">
        <f>[3]明细!H289</f>
        <v>815500</v>
      </c>
      <c r="P18" s="99">
        <v>27000</v>
      </c>
      <c r="Q18" s="99">
        <f>[3]明细!I118</f>
        <v>86500</v>
      </c>
      <c r="R18" s="99">
        <v>448500</v>
      </c>
      <c r="S18" s="99">
        <f>[3]明细!I180</f>
        <v>181500</v>
      </c>
      <c r="T18" s="749">
        <f t="shared" si="1"/>
        <v>6372100</v>
      </c>
      <c r="U18" s="1047"/>
      <c r="V18" s="1047"/>
    </row>
    <row r="19" spans="1:22" ht="22.5">
      <c r="A19" s="90" t="s">
        <v>62</v>
      </c>
      <c r="B19" s="97" t="s">
        <v>2319</v>
      </c>
      <c r="C19" s="97" t="s">
        <v>35</v>
      </c>
      <c r="D19" s="92" t="s">
        <v>36</v>
      </c>
      <c r="E19" s="99">
        <v>1600000</v>
      </c>
      <c r="F19" s="99">
        <v>1000000</v>
      </c>
      <c r="G19" s="99">
        <v>840000</v>
      </c>
      <c r="H19" s="99">
        <v>800000</v>
      </c>
      <c r="I19" s="99">
        <v>2000000</v>
      </c>
      <c r="J19" s="99">
        <v>560000</v>
      </c>
      <c r="K19" s="99"/>
      <c r="L19" s="99"/>
      <c r="M19" s="99"/>
      <c r="N19" s="99"/>
      <c r="O19" s="99">
        <v>2000000</v>
      </c>
      <c r="P19" s="99"/>
      <c r="Q19" s="99"/>
      <c r="R19" s="99">
        <v>1000000</v>
      </c>
      <c r="S19" s="99"/>
      <c r="T19" s="749">
        <f t="shared" si="1"/>
        <v>9800000</v>
      </c>
      <c r="U19" s="1047"/>
      <c r="V19" s="1047"/>
    </row>
    <row r="20" spans="1:22">
      <c r="A20" s="90" t="s">
        <v>64</v>
      </c>
      <c r="B20" s="91" t="s">
        <v>63</v>
      </c>
      <c r="C20" s="91"/>
      <c r="D20" s="98" t="s">
        <v>28</v>
      </c>
      <c r="E20" s="100">
        <f>E21+E22</f>
        <v>3687864.9099999997</v>
      </c>
      <c r="F20" s="100">
        <f t="shared" ref="F20:S20" si="8">F21+F22</f>
        <v>1943058.52</v>
      </c>
      <c r="G20" s="100">
        <f t="shared" si="8"/>
        <v>2052544.1800000004</v>
      </c>
      <c r="H20" s="100">
        <f t="shared" si="8"/>
        <v>2281109.4900000002</v>
      </c>
      <c r="I20" s="100">
        <f t="shared" si="8"/>
        <v>4513106.97</v>
      </c>
      <c r="J20" s="100">
        <f t="shared" si="8"/>
        <v>1135050.51</v>
      </c>
      <c r="K20" s="100">
        <f t="shared" si="8"/>
        <v>1250870.1600000001</v>
      </c>
      <c r="L20" s="100">
        <f t="shared" si="8"/>
        <v>1183068.54</v>
      </c>
      <c r="M20" s="100">
        <f t="shared" si="8"/>
        <v>939566.42000000016</v>
      </c>
      <c r="N20" s="100">
        <f t="shared" si="8"/>
        <v>968250.26999999979</v>
      </c>
      <c r="O20" s="100">
        <f t="shared" si="8"/>
        <v>3332413.5700000008</v>
      </c>
      <c r="P20" s="100">
        <f t="shared" si="8"/>
        <v>125219.79999999999</v>
      </c>
      <c r="Q20" s="100">
        <f t="shared" si="8"/>
        <v>273207.94</v>
      </c>
      <c r="R20" s="100">
        <f t="shared" si="8"/>
        <v>1644575.33</v>
      </c>
      <c r="S20" s="100">
        <f t="shared" si="8"/>
        <v>641508.47</v>
      </c>
      <c r="T20" s="749">
        <f t="shared" si="1"/>
        <v>25971415.080000006</v>
      </c>
      <c r="U20" s="1047"/>
      <c r="V20" s="1047"/>
    </row>
    <row r="21" spans="1:22" ht="22.5">
      <c r="A21" s="90" t="s">
        <v>67</v>
      </c>
      <c r="B21" s="91" t="s">
        <v>2320</v>
      </c>
      <c r="C21" s="91" t="s">
        <v>66</v>
      </c>
      <c r="D21" s="92" t="s">
        <v>2315</v>
      </c>
      <c r="E21" s="99">
        <f>[3]明细!I263</f>
        <v>3391062.2899999996</v>
      </c>
      <c r="F21" s="99">
        <f>[3]明细!H306</f>
        <v>1775011.21</v>
      </c>
      <c r="G21" s="99">
        <f>[3]明细!H71</f>
        <v>1844609.1800000004</v>
      </c>
      <c r="H21" s="99">
        <f>[3]明细!H29</f>
        <v>2071607.4900000002</v>
      </c>
      <c r="I21" s="99">
        <f>[3]明细!H50</f>
        <v>4136963.1399999997</v>
      </c>
      <c r="J21" s="99">
        <f>[3]明细!I220</f>
        <v>1039745.51</v>
      </c>
      <c r="K21" s="99">
        <f>[3]明细!I134</f>
        <v>1141620.1600000001</v>
      </c>
      <c r="L21" s="99">
        <f>[3]明细!I197</f>
        <v>1017183.1800000002</v>
      </c>
      <c r="M21" s="99">
        <f>[3]明细!I154</f>
        <v>867216.42000000016</v>
      </c>
      <c r="N21" s="99">
        <f>[3]明细!I92</f>
        <v>895250.26999999979</v>
      </c>
      <c r="O21" s="99">
        <f>[3]明细!H284</f>
        <v>3076543.5700000008</v>
      </c>
      <c r="P21" s="99">
        <f>[3]明细!H8</f>
        <v>115249.79999999999</v>
      </c>
      <c r="Q21" s="99">
        <f>[3]明细!I113</f>
        <v>250002.94</v>
      </c>
      <c r="R21" s="99">
        <f>[3]明细!I241</f>
        <v>1535495.33</v>
      </c>
      <c r="S21" s="99">
        <f>[3]明细!I175</f>
        <v>589475.78999999992</v>
      </c>
      <c r="T21" s="749">
        <f t="shared" si="1"/>
        <v>23747036.280000001</v>
      </c>
      <c r="U21" s="1047"/>
      <c r="V21" s="1047"/>
    </row>
    <row r="22" spans="1:22" ht="22.5">
      <c r="A22" s="90" t="s">
        <v>69</v>
      </c>
      <c r="B22" s="91" t="s">
        <v>2321</v>
      </c>
      <c r="C22" s="91"/>
      <c r="D22" s="98" t="s">
        <v>51</v>
      </c>
      <c r="E22" s="100">
        <f>E23+E24</f>
        <v>296802.62</v>
      </c>
      <c r="F22" s="100">
        <f t="shared" ref="F22:S22" si="9">F23+F24</f>
        <v>168047.31</v>
      </c>
      <c r="G22" s="100">
        <f t="shared" si="9"/>
        <v>207935</v>
      </c>
      <c r="H22" s="100">
        <f t="shared" si="9"/>
        <v>209502</v>
      </c>
      <c r="I22" s="100">
        <f t="shared" si="9"/>
        <v>376143.83</v>
      </c>
      <c r="J22" s="100">
        <f t="shared" si="9"/>
        <v>95305</v>
      </c>
      <c r="K22" s="100">
        <f t="shared" si="9"/>
        <v>109250</v>
      </c>
      <c r="L22" s="100">
        <f t="shared" si="9"/>
        <v>165885.35999999999</v>
      </c>
      <c r="M22" s="100">
        <f t="shared" si="9"/>
        <v>72350</v>
      </c>
      <c r="N22" s="100">
        <f t="shared" si="9"/>
        <v>73000</v>
      </c>
      <c r="O22" s="100">
        <f t="shared" si="9"/>
        <v>255870</v>
      </c>
      <c r="P22" s="100">
        <f t="shared" si="9"/>
        <v>9970</v>
      </c>
      <c r="Q22" s="100">
        <f t="shared" si="9"/>
        <v>23205</v>
      </c>
      <c r="R22" s="100">
        <f t="shared" si="9"/>
        <v>109080</v>
      </c>
      <c r="S22" s="100">
        <f t="shared" si="9"/>
        <v>52032.68</v>
      </c>
      <c r="T22" s="749">
        <f t="shared" si="1"/>
        <v>2224378.8000000003</v>
      </c>
      <c r="U22" s="1047"/>
      <c r="V22" s="1047"/>
    </row>
    <row r="23" spans="1:22" ht="22.5">
      <c r="A23" s="90" t="s">
        <v>72</v>
      </c>
      <c r="B23" s="91" t="s">
        <v>70</v>
      </c>
      <c r="C23" s="91" t="s">
        <v>66</v>
      </c>
      <c r="D23" s="92" t="s">
        <v>2322</v>
      </c>
      <c r="E23" s="99">
        <f>[3]明细!I264</f>
        <v>69802.62</v>
      </c>
      <c r="F23" s="99">
        <f>[3]明细!H307</f>
        <v>22027.309999999998</v>
      </c>
      <c r="G23" s="99">
        <f>[3]明细!H72</f>
        <v>35135</v>
      </c>
      <c r="H23" s="99">
        <f>[3]明细!H30</f>
        <v>56052</v>
      </c>
      <c r="I23" s="99">
        <f>[3]明细!H51</f>
        <v>41353.83</v>
      </c>
      <c r="J23" s="99">
        <f>[3]明细!I221</f>
        <v>0</v>
      </c>
      <c r="K23" s="99">
        <f>[3]明细!I135</f>
        <v>10800</v>
      </c>
      <c r="L23" s="99">
        <f>[3]明细!I198</f>
        <v>6705.36</v>
      </c>
      <c r="M23" s="99">
        <f>[3]明细!I155</f>
        <v>1400</v>
      </c>
      <c r="N23" s="99"/>
      <c r="O23" s="99">
        <f>[3]明细!H285</f>
        <v>700</v>
      </c>
      <c r="P23" s="99">
        <f>[3]明细!H9</f>
        <v>700</v>
      </c>
      <c r="Q23" s="99">
        <f>[3]明细!I114</f>
        <v>0</v>
      </c>
      <c r="R23" s="99">
        <f>[3]明细!I242</f>
        <v>0</v>
      </c>
      <c r="S23" s="99">
        <f>[3]明细!I176</f>
        <v>582.67999999999995</v>
      </c>
      <c r="T23" s="749">
        <f t="shared" si="1"/>
        <v>245258.8</v>
      </c>
      <c r="U23" s="1047"/>
      <c r="V23" s="1047"/>
    </row>
    <row r="24" spans="1:22" ht="22.5">
      <c r="A24" s="90" t="s">
        <v>74</v>
      </c>
      <c r="B24" s="91" t="s">
        <v>73</v>
      </c>
      <c r="C24" s="91" t="s">
        <v>66</v>
      </c>
      <c r="D24" s="92" t="s">
        <v>2322</v>
      </c>
      <c r="E24" s="99">
        <f>[3]明细!I265</f>
        <v>227000</v>
      </c>
      <c r="F24" s="99">
        <f>[3]明细!H308</f>
        <v>146020</v>
      </c>
      <c r="G24" s="99">
        <f>[3]明细!H73</f>
        <v>172800</v>
      </c>
      <c r="H24" s="99">
        <f>[3]明细!H31</f>
        <v>153450</v>
      </c>
      <c r="I24" s="99">
        <f>[3]明细!H52</f>
        <v>334790</v>
      </c>
      <c r="J24" s="99">
        <f>[3]明细!I222</f>
        <v>95305</v>
      </c>
      <c r="K24" s="99">
        <f>[3]明细!I136</f>
        <v>98450</v>
      </c>
      <c r="L24" s="99">
        <f>[3]明细!I199</f>
        <v>159180</v>
      </c>
      <c r="M24" s="99">
        <f>[3]明细!I156</f>
        <v>70950</v>
      </c>
      <c r="N24" s="99">
        <f>[3]明细!I94</f>
        <v>73000</v>
      </c>
      <c r="O24" s="99">
        <f>[3]明细!H286</f>
        <v>255170</v>
      </c>
      <c r="P24" s="99">
        <f>[3]明细!H10</f>
        <v>9270</v>
      </c>
      <c r="Q24" s="99">
        <f>[3]明细!I115</f>
        <v>23205</v>
      </c>
      <c r="R24" s="99">
        <f>[3]明细!I243</f>
        <v>109080</v>
      </c>
      <c r="S24" s="99">
        <f>[3]明细!I177</f>
        <v>51450</v>
      </c>
      <c r="T24" s="749">
        <f t="shared" si="1"/>
        <v>1979120</v>
      </c>
      <c r="U24" s="1047"/>
      <c r="V24" s="1047"/>
    </row>
    <row r="25" spans="1:22">
      <c r="A25" s="90" t="s">
        <v>76</v>
      </c>
      <c r="B25" s="91" t="s">
        <v>75</v>
      </c>
      <c r="C25" s="91"/>
      <c r="D25" s="92" t="s">
        <v>28</v>
      </c>
      <c r="E25" s="19">
        <f t="shared" ref="E25:S25" si="10">E26</f>
        <v>4801526.4799999995</v>
      </c>
      <c r="F25" s="19">
        <f t="shared" si="10"/>
        <v>2869130.2900000005</v>
      </c>
      <c r="G25" s="19">
        <f t="shared" si="10"/>
        <v>2951369.6000000006</v>
      </c>
      <c r="H25" s="19">
        <f t="shared" si="10"/>
        <v>3314566.1199999996</v>
      </c>
      <c r="I25" s="19">
        <f t="shared" si="10"/>
        <v>6619290.2400000002</v>
      </c>
      <c r="J25" s="19">
        <f t="shared" si="10"/>
        <v>1663590.56</v>
      </c>
      <c r="K25" s="19">
        <f t="shared" si="10"/>
        <v>1954389.57</v>
      </c>
      <c r="L25" s="19">
        <f t="shared" si="10"/>
        <v>1556532.48</v>
      </c>
      <c r="M25" s="19">
        <f t="shared" si="10"/>
        <v>1387542.3199999998</v>
      </c>
      <c r="N25" s="19">
        <f t="shared" si="10"/>
        <v>1438646.8599999999</v>
      </c>
      <c r="O25" s="19">
        <f t="shared" si="10"/>
        <v>4922468.3500000006</v>
      </c>
      <c r="P25" s="19">
        <f t="shared" si="10"/>
        <v>200017.05999999997</v>
      </c>
      <c r="Q25" s="19">
        <f t="shared" si="10"/>
        <v>432528.36</v>
      </c>
      <c r="R25" s="19">
        <f t="shared" si="10"/>
        <v>2467060.59</v>
      </c>
      <c r="S25" s="19">
        <f t="shared" si="10"/>
        <v>945320.57</v>
      </c>
      <c r="T25" s="749">
        <f t="shared" si="1"/>
        <v>37523979.449999996</v>
      </c>
      <c r="U25" s="1047"/>
      <c r="V25" s="1047"/>
    </row>
    <row r="26" spans="1:22" s="96" customFormat="1" ht="22.5">
      <c r="A26" s="90" t="s">
        <v>79</v>
      </c>
      <c r="B26" s="95" t="s">
        <v>2323</v>
      </c>
      <c r="C26" s="95" t="s">
        <v>78</v>
      </c>
      <c r="D26" s="92" t="s">
        <v>2315</v>
      </c>
      <c r="E26" s="22">
        <f>[3]明细!I266</f>
        <v>4801526.4799999995</v>
      </c>
      <c r="F26" s="22">
        <f>[3]明细!H309</f>
        <v>2869130.2900000005</v>
      </c>
      <c r="G26" s="22">
        <f>[3]明细!H74</f>
        <v>2951369.6000000006</v>
      </c>
      <c r="H26" s="22">
        <f>[3]明细!H32</f>
        <v>3314566.1199999996</v>
      </c>
      <c r="I26" s="22">
        <f>[3]明细!H53</f>
        <v>6619290.2400000002</v>
      </c>
      <c r="J26" s="22">
        <f>[3]明细!I223</f>
        <v>1663590.56</v>
      </c>
      <c r="K26" s="22">
        <f>[3]明细!I137</f>
        <v>1954389.57</v>
      </c>
      <c r="L26" s="22">
        <f>[3]明细!I200</f>
        <v>1556532.48</v>
      </c>
      <c r="M26" s="22">
        <f>[3]明细!I157</f>
        <v>1387542.3199999998</v>
      </c>
      <c r="N26" s="22">
        <f>[3]明细!I95</f>
        <v>1438646.8599999999</v>
      </c>
      <c r="O26" s="22">
        <f>[3]明细!H287</f>
        <v>4922468.3500000006</v>
      </c>
      <c r="P26" s="22">
        <f>[3]明细!H11</f>
        <v>200017.05999999997</v>
      </c>
      <c r="Q26" s="22">
        <f>[3]明细!I116</f>
        <v>432528.36</v>
      </c>
      <c r="R26" s="22">
        <f>[3]明细!I244</f>
        <v>2467060.59</v>
      </c>
      <c r="S26" s="22">
        <f>[3]明细!I178</f>
        <v>945320.57</v>
      </c>
      <c r="T26" s="749">
        <f t="shared" si="1"/>
        <v>37523979.449999996</v>
      </c>
      <c r="U26" s="1047"/>
      <c r="V26" s="1047"/>
    </row>
    <row r="27" spans="1:22">
      <c r="A27" s="90" t="s">
        <v>81</v>
      </c>
      <c r="B27" s="91" t="s">
        <v>80</v>
      </c>
      <c r="C27" s="91"/>
      <c r="D27" s="92" t="s">
        <v>28</v>
      </c>
      <c r="E27" s="19">
        <f t="shared" ref="E27:S27" si="11">E28</f>
        <v>2374730.2899999996</v>
      </c>
      <c r="F27" s="19">
        <f t="shared" si="11"/>
        <v>1434587.24</v>
      </c>
      <c r="G27" s="19">
        <f t="shared" si="11"/>
        <v>1475705.8000000003</v>
      </c>
      <c r="H27" s="19">
        <f t="shared" si="11"/>
        <v>1657307.4</v>
      </c>
      <c r="I27" s="19">
        <f t="shared" si="11"/>
        <v>3309694.24</v>
      </c>
      <c r="J27" s="19">
        <f t="shared" si="11"/>
        <v>831805.9</v>
      </c>
      <c r="K27" s="19">
        <f t="shared" si="11"/>
        <v>977210.44</v>
      </c>
      <c r="L27" s="19">
        <f t="shared" si="11"/>
        <v>778281</v>
      </c>
      <c r="M27" s="19">
        <f t="shared" si="11"/>
        <v>693782.79999999993</v>
      </c>
      <c r="N27" s="19">
        <f t="shared" si="11"/>
        <v>720897.6</v>
      </c>
      <c r="O27" s="19">
        <f t="shared" si="11"/>
        <v>2053140.4799999997</v>
      </c>
      <c r="P27" s="19">
        <f t="shared" si="11"/>
        <v>97005.900000000009</v>
      </c>
      <c r="Q27" s="19">
        <f t="shared" si="11"/>
        <v>216266.02000000002</v>
      </c>
      <c r="R27" s="19">
        <f t="shared" si="11"/>
        <v>1384669.79</v>
      </c>
      <c r="S27" s="19">
        <f t="shared" si="11"/>
        <v>472667.4</v>
      </c>
      <c r="T27" s="749">
        <f t="shared" si="1"/>
        <v>18477752.300000001</v>
      </c>
      <c r="U27" s="1047"/>
      <c r="V27" s="1047"/>
    </row>
    <row r="28" spans="1:22" s="96" customFormat="1" ht="22.5">
      <c r="A28" s="90" t="s">
        <v>84</v>
      </c>
      <c r="B28" s="95" t="s">
        <v>82</v>
      </c>
      <c r="C28" s="95" t="s">
        <v>83</v>
      </c>
      <c r="D28" s="92" t="s">
        <v>2315</v>
      </c>
      <c r="E28" s="22">
        <f>[3]明细!I267</f>
        <v>2374730.2899999996</v>
      </c>
      <c r="F28" s="22">
        <f>[3]明细!H310</f>
        <v>1434587.24</v>
      </c>
      <c r="G28" s="22">
        <f>[3]明细!H75</f>
        <v>1475705.8000000003</v>
      </c>
      <c r="H28" s="22">
        <f>[3]明细!H33</f>
        <v>1657307.4</v>
      </c>
      <c r="I28" s="22">
        <f>[3]明细!H54</f>
        <v>3309694.24</v>
      </c>
      <c r="J28" s="22">
        <f>[3]明细!I224</f>
        <v>831805.9</v>
      </c>
      <c r="K28" s="22">
        <f>[3]明细!I138</f>
        <v>977210.44</v>
      </c>
      <c r="L28" s="22">
        <f>[3]明细!I201</f>
        <v>778281</v>
      </c>
      <c r="M28" s="22">
        <f>[3]明细!I158</f>
        <v>693782.79999999993</v>
      </c>
      <c r="N28" s="22">
        <f>[3]明细!I96</f>
        <v>720897.6</v>
      </c>
      <c r="O28" s="22">
        <f>[3]明细!H288</f>
        <v>2053140.4799999997</v>
      </c>
      <c r="P28" s="22">
        <f>[3]明细!H12</f>
        <v>97005.900000000009</v>
      </c>
      <c r="Q28" s="22">
        <f>[3]明细!I117</f>
        <v>216266.02000000002</v>
      </c>
      <c r="R28" s="22">
        <f>[3]明细!I245</f>
        <v>1384669.79</v>
      </c>
      <c r="S28" s="22">
        <f>[3]明细!I179</f>
        <v>472667.4</v>
      </c>
      <c r="T28" s="749">
        <f t="shared" si="1"/>
        <v>18477752.300000001</v>
      </c>
      <c r="U28" s="1047"/>
      <c r="V28" s="1047"/>
    </row>
    <row r="29" spans="1:22" ht="22.5">
      <c r="A29" s="90" t="s">
        <v>87</v>
      </c>
      <c r="B29" s="91" t="s">
        <v>2324</v>
      </c>
      <c r="C29" s="91" t="s">
        <v>88</v>
      </c>
      <c r="D29" s="92" t="s">
        <v>2325</v>
      </c>
      <c r="E29" s="99">
        <f>[3]明细!I269</f>
        <v>2115140</v>
      </c>
      <c r="F29" s="99">
        <f>[3]明细!H312</f>
        <v>1269433</v>
      </c>
      <c r="G29" s="99">
        <f>[3]明细!H77</f>
        <v>1298754</v>
      </c>
      <c r="H29" s="99">
        <f>[3]明细!H35</f>
        <v>1462782</v>
      </c>
      <c r="I29" s="99">
        <f>[3]明细!H56</f>
        <v>2915234</v>
      </c>
      <c r="J29" s="99">
        <f>[3]明细!I226</f>
        <v>582602</v>
      </c>
      <c r="K29" s="99">
        <f>[3]明细!I140</f>
        <v>859498</v>
      </c>
      <c r="L29" s="99">
        <f>[3]明细!I203</f>
        <v>680248</v>
      </c>
      <c r="M29" s="99">
        <f>[3]明细!I160</f>
        <v>612288</v>
      </c>
      <c r="N29" s="99">
        <f>[3]明细!I98</f>
        <v>631998</v>
      </c>
      <c r="O29" s="99">
        <f>[3]明细!H290</f>
        <v>2152003</v>
      </c>
      <c r="P29" s="99">
        <f>[3]明细!H14</f>
        <v>85026</v>
      </c>
      <c r="Q29" s="99">
        <f>[3]明细!I119</f>
        <v>191162</v>
      </c>
      <c r="R29" s="99">
        <f>[3]明细!I247</f>
        <v>1145034</v>
      </c>
      <c r="S29" s="99">
        <f>[3]明细!I181</f>
        <v>417183</v>
      </c>
      <c r="T29" s="749">
        <f t="shared" si="1"/>
        <v>16418385</v>
      </c>
      <c r="U29" s="1047"/>
      <c r="V29" s="1047"/>
    </row>
    <row r="30" spans="1:22" ht="22.5">
      <c r="A30" s="90" t="s">
        <v>90</v>
      </c>
      <c r="B30" s="91" t="s">
        <v>2326</v>
      </c>
      <c r="C30" s="97" t="s">
        <v>35</v>
      </c>
      <c r="D30" s="93" t="s">
        <v>2327</v>
      </c>
      <c r="E30" s="99">
        <v>46500</v>
      </c>
      <c r="F30" s="99">
        <v>24500</v>
      </c>
      <c r="G30" s="99">
        <v>34000</v>
      </c>
      <c r="H30" s="99">
        <v>35500</v>
      </c>
      <c r="I30" s="99">
        <v>72000</v>
      </c>
      <c r="J30" s="99">
        <v>18500</v>
      </c>
      <c r="K30" s="99">
        <v>18500</v>
      </c>
      <c r="L30" s="99">
        <v>17000</v>
      </c>
      <c r="M30" s="99">
        <v>15500</v>
      </c>
      <c r="N30" s="99">
        <v>17000</v>
      </c>
      <c r="O30" s="99">
        <v>49500</v>
      </c>
      <c r="P30" s="99">
        <v>1500</v>
      </c>
      <c r="Q30" s="99">
        <v>3000</v>
      </c>
      <c r="R30" s="99">
        <v>20000</v>
      </c>
      <c r="S30" s="99">
        <v>12500</v>
      </c>
      <c r="T30" s="749">
        <f t="shared" si="1"/>
        <v>385500</v>
      </c>
      <c r="U30" s="1048"/>
      <c r="V30" s="1048"/>
    </row>
    <row r="31" spans="1:22">
      <c r="A31" s="90" t="s">
        <v>94</v>
      </c>
      <c r="B31" s="91" t="s">
        <v>95</v>
      </c>
      <c r="C31" s="91"/>
      <c r="D31" s="92" t="s">
        <v>28</v>
      </c>
      <c r="E31" s="19">
        <f>E32+E36+E38+E40</f>
        <v>1794135</v>
      </c>
      <c r="F31" s="19">
        <f t="shared" ref="F31:S31" si="12">F32+F36+F38+F40</f>
        <v>1032755</v>
      </c>
      <c r="G31" s="19">
        <f t="shared" si="12"/>
        <v>1398740</v>
      </c>
      <c r="H31" s="19">
        <f t="shared" si="12"/>
        <v>855595</v>
      </c>
      <c r="I31" s="19">
        <f t="shared" si="12"/>
        <v>313920</v>
      </c>
      <c r="J31" s="19">
        <f t="shared" si="12"/>
        <v>1800</v>
      </c>
      <c r="K31" s="19">
        <f t="shared" si="12"/>
        <v>198325</v>
      </c>
      <c r="L31" s="19">
        <f t="shared" si="12"/>
        <v>340085</v>
      </c>
      <c r="M31" s="19">
        <f t="shared" si="12"/>
        <v>70860</v>
      </c>
      <c r="N31" s="19">
        <f t="shared" si="12"/>
        <v>16260</v>
      </c>
      <c r="O31" s="19">
        <f t="shared" si="12"/>
        <v>52320</v>
      </c>
      <c r="P31" s="19">
        <f t="shared" si="12"/>
        <v>65880</v>
      </c>
      <c r="Q31" s="19">
        <f t="shared" si="12"/>
        <v>720</v>
      </c>
      <c r="R31" s="19">
        <f t="shared" si="12"/>
        <v>45255</v>
      </c>
      <c r="S31" s="19">
        <f t="shared" si="12"/>
        <v>161790</v>
      </c>
      <c r="T31" s="749">
        <f t="shared" si="1"/>
        <v>6348440</v>
      </c>
      <c r="U31" s="1046">
        <v>90300</v>
      </c>
      <c r="V31" s="1046">
        <f>ROUND(T31-U31,2)</f>
        <v>6258140</v>
      </c>
    </row>
    <row r="32" spans="1:22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 t="shared" ref="F32:S32" si="13">F33+F34+F35</f>
        <v>0</v>
      </c>
      <c r="G32" s="19">
        <f t="shared" si="13"/>
        <v>0</v>
      </c>
      <c r="H32" s="19">
        <f t="shared" si="13"/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3"/>
        <v>0</v>
      </c>
      <c r="M32" s="19">
        <f t="shared" si="13"/>
        <v>0</v>
      </c>
      <c r="N32" s="19">
        <f t="shared" si="13"/>
        <v>0</v>
      </c>
      <c r="O32" s="19">
        <f t="shared" si="13"/>
        <v>0</v>
      </c>
      <c r="P32" s="19">
        <f t="shared" si="13"/>
        <v>0</v>
      </c>
      <c r="Q32" s="19">
        <f t="shared" si="13"/>
        <v>0</v>
      </c>
      <c r="R32" s="19">
        <f t="shared" si="13"/>
        <v>0</v>
      </c>
      <c r="S32" s="19">
        <f t="shared" si="13"/>
        <v>0</v>
      </c>
      <c r="T32" s="749">
        <f t="shared" si="1"/>
        <v>0</v>
      </c>
      <c r="U32" s="1047"/>
      <c r="V32" s="1047"/>
    </row>
    <row r="33" spans="1:22" ht="33.75">
      <c r="A33" s="90" t="s">
        <v>98</v>
      </c>
      <c r="B33" s="91" t="s">
        <v>2328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749">
        <f t="shared" si="1"/>
        <v>0</v>
      </c>
      <c r="U33" s="1047"/>
      <c r="V33" s="1047"/>
    </row>
    <row r="34" spans="1:22" ht="33.75">
      <c r="A34" s="90" t="s">
        <v>102</v>
      </c>
      <c r="B34" s="91" t="s">
        <v>2329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749">
        <f t="shared" si="1"/>
        <v>0</v>
      </c>
      <c r="U34" s="1047"/>
      <c r="V34" s="1047"/>
    </row>
    <row r="35" spans="1:22" ht="33.75">
      <c r="A35" s="90" t="s">
        <v>104</v>
      </c>
      <c r="B35" s="91" t="s">
        <v>2330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749">
        <f t="shared" si="1"/>
        <v>0</v>
      </c>
      <c r="U35" s="1047"/>
      <c r="V35" s="1047"/>
    </row>
    <row r="36" spans="1:22" ht="33.75">
      <c r="A36" s="90" t="s">
        <v>107</v>
      </c>
      <c r="B36" s="91" t="s">
        <v>2331</v>
      </c>
      <c r="C36" s="91" t="s">
        <v>100</v>
      </c>
      <c r="D36" s="98" t="s">
        <v>2332</v>
      </c>
      <c r="E36" s="100">
        <f>E37</f>
        <v>1787235</v>
      </c>
      <c r="F36" s="100">
        <f t="shared" ref="F36:S36" si="14">F37</f>
        <v>1027655</v>
      </c>
      <c r="G36" s="100">
        <f t="shared" si="14"/>
        <v>1396160</v>
      </c>
      <c r="H36" s="100">
        <f t="shared" si="14"/>
        <v>853435</v>
      </c>
      <c r="I36" s="100">
        <f t="shared" si="14"/>
        <v>309720</v>
      </c>
      <c r="J36" s="100">
        <f t="shared" si="14"/>
        <v>0</v>
      </c>
      <c r="K36" s="100">
        <f t="shared" si="14"/>
        <v>194725</v>
      </c>
      <c r="L36" s="100">
        <f t="shared" si="14"/>
        <v>336935</v>
      </c>
      <c r="M36" s="100">
        <f t="shared" si="14"/>
        <v>66540</v>
      </c>
      <c r="N36" s="100">
        <f t="shared" si="14"/>
        <v>13020</v>
      </c>
      <c r="O36" s="100">
        <f t="shared" si="14"/>
        <v>47340</v>
      </c>
      <c r="P36" s="100">
        <f t="shared" si="14"/>
        <v>65880</v>
      </c>
      <c r="Q36" s="100">
        <f t="shared" si="14"/>
        <v>0</v>
      </c>
      <c r="R36" s="100">
        <f t="shared" si="14"/>
        <v>41655</v>
      </c>
      <c r="S36" s="100">
        <f t="shared" si="14"/>
        <v>160260</v>
      </c>
      <c r="T36" s="749">
        <f t="shared" si="1"/>
        <v>6300560</v>
      </c>
      <c r="U36" s="1047"/>
      <c r="V36" s="1047"/>
    </row>
    <row r="37" spans="1:22" ht="33.75">
      <c r="A37" s="90" t="s">
        <v>109</v>
      </c>
      <c r="B37" s="91" t="s">
        <v>2333</v>
      </c>
      <c r="C37" s="91" t="s">
        <v>100</v>
      </c>
      <c r="D37" s="98" t="s">
        <v>2332</v>
      </c>
      <c r="E37" s="22">
        <f>[3]明细!I272</f>
        <v>1787235</v>
      </c>
      <c r="F37" s="22">
        <f>[3]明细!H315</f>
        <v>1027655</v>
      </c>
      <c r="G37" s="22">
        <f>[3]明细!H80</f>
        <v>1396160</v>
      </c>
      <c r="H37" s="22">
        <f>[3]明细!H38</f>
        <v>853435</v>
      </c>
      <c r="I37" s="22">
        <f>[3]明细!H59</f>
        <v>309720</v>
      </c>
      <c r="J37" s="22">
        <f>[3]明细!I229</f>
        <v>0</v>
      </c>
      <c r="K37" s="22">
        <f>[3]明细!I143</f>
        <v>194725</v>
      </c>
      <c r="L37" s="22">
        <f>[3]明细!I206</f>
        <v>336935</v>
      </c>
      <c r="M37" s="22">
        <f>[3]明细!I163</f>
        <v>66540</v>
      </c>
      <c r="N37" s="22">
        <f>[3]明细!I101</f>
        <v>13020</v>
      </c>
      <c r="O37" s="22">
        <f>[3]明细!H293</f>
        <v>47340</v>
      </c>
      <c r="P37" s="22">
        <f>[3]明细!H17</f>
        <v>65880</v>
      </c>
      <c r="Q37" s="22">
        <f>[3]明细!I122</f>
        <v>0</v>
      </c>
      <c r="R37" s="22">
        <f>[3]明细!I250</f>
        <v>41655</v>
      </c>
      <c r="S37" s="22">
        <f>[3]明细!I184</f>
        <v>160260</v>
      </c>
      <c r="T37" s="749">
        <f t="shared" si="1"/>
        <v>6300560</v>
      </c>
      <c r="U37" s="1047"/>
      <c r="V37" s="1047"/>
    </row>
    <row r="38" spans="1:22">
      <c r="A38" s="90" t="s">
        <v>111</v>
      </c>
      <c r="B38" s="91" t="s">
        <v>125</v>
      </c>
      <c r="C38" s="91"/>
      <c r="D38" s="92" t="s">
        <v>28</v>
      </c>
      <c r="E38" s="19">
        <f>E39</f>
        <v>6900</v>
      </c>
      <c r="F38" s="19">
        <f t="shared" ref="F38:S38" si="15">F39</f>
        <v>5100</v>
      </c>
      <c r="G38" s="19">
        <f t="shared" si="15"/>
        <v>2580</v>
      </c>
      <c r="H38" s="19">
        <f t="shared" si="15"/>
        <v>2160</v>
      </c>
      <c r="I38" s="19">
        <f t="shared" si="15"/>
        <v>4200</v>
      </c>
      <c r="J38" s="19">
        <f t="shared" si="15"/>
        <v>1800</v>
      </c>
      <c r="K38" s="19">
        <f t="shared" si="15"/>
        <v>3600</v>
      </c>
      <c r="L38" s="19">
        <f t="shared" si="15"/>
        <v>3150</v>
      </c>
      <c r="M38" s="19">
        <f t="shared" si="15"/>
        <v>4320</v>
      </c>
      <c r="N38" s="19">
        <f t="shared" si="15"/>
        <v>3240</v>
      </c>
      <c r="O38" s="19">
        <f t="shared" si="15"/>
        <v>4980</v>
      </c>
      <c r="P38" s="19">
        <f t="shared" si="15"/>
        <v>0</v>
      </c>
      <c r="Q38" s="19">
        <f t="shared" si="15"/>
        <v>720</v>
      </c>
      <c r="R38" s="19">
        <f t="shared" si="15"/>
        <v>3600</v>
      </c>
      <c r="S38" s="19">
        <f t="shared" si="15"/>
        <v>1530</v>
      </c>
      <c r="T38" s="749">
        <f t="shared" si="1"/>
        <v>47880</v>
      </c>
      <c r="U38" s="1047"/>
      <c r="V38" s="1047"/>
    </row>
    <row r="39" spans="1:22" ht="22.5">
      <c r="A39" s="90" t="s">
        <v>113</v>
      </c>
      <c r="B39" s="91" t="s">
        <v>127</v>
      </c>
      <c r="C39" s="91" t="s">
        <v>35</v>
      </c>
      <c r="D39" s="92" t="s">
        <v>36</v>
      </c>
      <c r="E39" s="22">
        <f>[3]明细!I270</f>
        <v>6900</v>
      </c>
      <c r="F39" s="22">
        <f>[3]明细!H313</f>
        <v>5100</v>
      </c>
      <c r="G39" s="22">
        <f>[3]明细!H78</f>
        <v>2580</v>
      </c>
      <c r="H39" s="22">
        <f>[3]明细!H36</f>
        <v>2160</v>
      </c>
      <c r="I39" s="22">
        <f>[3]明细!H57</f>
        <v>4200</v>
      </c>
      <c r="J39" s="22">
        <f>[3]明细!I227</f>
        <v>1800</v>
      </c>
      <c r="K39" s="22">
        <f>[3]明细!I141</f>
        <v>3600</v>
      </c>
      <c r="L39" s="22">
        <f>[3]明细!I204</f>
        <v>3150</v>
      </c>
      <c r="M39" s="22">
        <f>[3]明细!I161</f>
        <v>4320</v>
      </c>
      <c r="N39" s="22">
        <f>[3]明细!I99</f>
        <v>3240</v>
      </c>
      <c r="O39" s="22">
        <f>[3]明细!H291</f>
        <v>4980</v>
      </c>
      <c r="P39" s="22">
        <f>[3]明细!H15</f>
        <v>0</v>
      </c>
      <c r="Q39" s="22">
        <f>[3]明细!I120</f>
        <v>720</v>
      </c>
      <c r="R39" s="22">
        <f>[3]明细!I248</f>
        <v>3600</v>
      </c>
      <c r="S39" s="22">
        <f>[3]明细!I182</f>
        <v>1530</v>
      </c>
      <c r="T39" s="749">
        <f t="shared" si="1"/>
        <v>47880</v>
      </c>
      <c r="U39" s="1047"/>
      <c r="V39" s="1047"/>
    </row>
    <row r="40" spans="1:22">
      <c r="A40" s="90" t="s">
        <v>115</v>
      </c>
      <c r="B40" s="91" t="s">
        <v>129</v>
      </c>
      <c r="C40" s="91"/>
      <c r="D40" s="92" t="s">
        <v>28</v>
      </c>
      <c r="E40" s="19">
        <f>E41</f>
        <v>0</v>
      </c>
      <c r="F40" s="19">
        <f t="shared" ref="F40:S40" si="16">F41</f>
        <v>0</v>
      </c>
      <c r="G40" s="19">
        <f t="shared" si="16"/>
        <v>0</v>
      </c>
      <c r="H40" s="19">
        <f t="shared" si="16"/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6"/>
        <v>0</v>
      </c>
      <c r="M40" s="19">
        <f t="shared" si="16"/>
        <v>0</v>
      </c>
      <c r="N40" s="19">
        <f t="shared" si="16"/>
        <v>0</v>
      </c>
      <c r="O40" s="19">
        <f t="shared" si="16"/>
        <v>0</v>
      </c>
      <c r="P40" s="19">
        <f t="shared" si="16"/>
        <v>0</v>
      </c>
      <c r="Q40" s="19">
        <f t="shared" si="16"/>
        <v>0</v>
      </c>
      <c r="R40" s="19">
        <f t="shared" si="16"/>
        <v>0</v>
      </c>
      <c r="S40" s="19">
        <f t="shared" si="16"/>
        <v>0</v>
      </c>
      <c r="T40" s="749">
        <f t="shared" si="1"/>
        <v>0</v>
      </c>
      <c r="U40" s="1047"/>
      <c r="V40" s="1047"/>
    </row>
    <row r="41" spans="1:22" ht="67.5">
      <c r="A41" s="90" t="s">
        <v>116</v>
      </c>
      <c r="B41" s="91" t="s">
        <v>2334</v>
      </c>
      <c r="C41" s="91" t="s">
        <v>35</v>
      </c>
      <c r="D41" s="98" t="s">
        <v>140</v>
      </c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749">
        <f t="shared" si="1"/>
        <v>0</v>
      </c>
      <c r="U41" s="1048"/>
      <c r="V41" s="1048"/>
    </row>
    <row r="42" spans="1:22">
      <c r="A42" s="90" t="s">
        <v>118</v>
      </c>
      <c r="B42" s="91" t="s">
        <v>142</v>
      </c>
      <c r="C42" s="91"/>
      <c r="D42" s="92" t="s">
        <v>28</v>
      </c>
      <c r="E42" s="19">
        <f>E43+E45+E47+E49+E51+E54+E56+E58+E62</f>
        <v>7109469.4800000004</v>
      </c>
      <c r="F42" s="19">
        <f t="shared" ref="F42:S42" si="17">F43+F45+F47+F49+F51+F54+F56+F58+F62</f>
        <v>4570938.12</v>
      </c>
      <c r="G42" s="19">
        <f t="shared" si="17"/>
        <v>4219786.3900000006</v>
      </c>
      <c r="H42" s="19">
        <f t="shared" si="17"/>
        <v>4570223.72</v>
      </c>
      <c r="I42" s="19">
        <f t="shared" si="17"/>
        <v>13212374.639999999</v>
      </c>
      <c r="J42" s="19">
        <f t="shared" si="17"/>
        <v>3156149.09</v>
      </c>
      <c r="K42" s="19">
        <f t="shared" si="17"/>
        <v>2796331.83</v>
      </c>
      <c r="L42" s="19">
        <f t="shared" si="17"/>
        <v>2530501.7199999997</v>
      </c>
      <c r="M42" s="19">
        <f t="shared" si="17"/>
        <v>2381804.63</v>
      </c>
      <c r="N42" s="19">
        <f t="shared" si="17"/>
        <v>2156106.56</v>
      </c>
      <c r="O42" s="19">
        <f t="shared" si="17"/>
        <v>7846372.8699999992</v>
      </c>
      <c r="P42" s="19">
        <f t="shared" si="17"/>
        <v>175829.78</v>
      </c>
      <c r="Q42" s="19">
        <f t="shared" si="17"/>
        <v>1069922.72</v>
      </c>
      <c r="R42" s="19">
        <f t="shared" si="17"/>
        <v>5092521.3</v>
      </c>
      <c r="S42" s="19">
        <f t="shared" si="17"/>
        <v>1828107.4000000001</v>
      </c>
      <c r="T42" s="749">
        <f t="shared" si="1"/>
        <v>62716440.249999993</v>
      </c>
      <c r="U42" s="1046">
        <v>59590295.480000004</v>
      </c>
      <c r="V42" s="1046">
        <f>ROUND(T42-U42,2)</f>
        <v>3126144.77</v>
      </c>
    </row>
    <row r="43" spans="1:22" ht="22.5">
      <c r="A43" s="90" t="s">
        <v>120</v>
      </c>
      <c r="B43" s="91" t="s">
        <v>144</v>
      </c>
      <c r="C43" s="91"/>
      <c r="D43" s="92" t="s">
        <v>145</v>
      </c>
      <c r="E43" s="22">
        <v>4787975</v>
      </c>
      <c r="F43" s="22">
        <v>3393990</v>
      </c>
      <c r="G43" s="22">
        <v>2831220</v>
      </c>
      <c r="H43" s="22">
        <v>3145510</v>
      </c>
      <c r="I43" s="22">
        <v>10795095</v>
      </c>
      <c r="J43" s="22">
        <v>2432600</v>
      </c>
      <c r="K43" s="22">
        <v>1941940</v>
      </c>
      <c r="L43" s="22">
        <v>1859000</v>
      </c>
      <c r="M43" s="22">
        <v>1728960</v>
      </c>
      <c r="N43" s="22">
        <v>1573760</v>
      </c>
      <c r="O43" s="22">
        <v>5861105</v>
      </c>
      <c r="P43" s="22">
        <v>112000</v>
      </c>
      <c r="Q43" s="22">
        <v>858000</v>
      </c>
      <c r="R43" s="22">
        <v>4172760</v>
      </c>
      <c r="S43" s="22">
        <v>1405690</v>
      </c>
      <c r="T43" s="749">
        <f t="shared" si="1"/>
        <v>46899605</v>
      </c>
      <c r="U43" s="1047"/>
      <c r="V43" s="1047"/>
    </row>
    <row r="44" spans="1:22">
      <c r="A44" s="90" t="s">
        <v>122</v>
      </c>
      <c r="B44" s="91" t="s">
        <v>2335</v>
      </c>
      <c r="C44" s="91" t="s">
        <v>2336</v>
      </c>
      <c r="D44" s="102" t="s">
        <v>2337</v>
      </c>
      <c r="E44" s="22">
        <v>239398.75</v>
      </c>
      <c r="F44" s="22">
        <v>169699.5</v>
      </c>
      <c r="G44" s="22">
        <v>141561</v>
      </c>
      <c r="H44" s="22">
        <v>157275.5</v>
      </c>
      <c r="I44" s="22">
        <v>539754.75</v>
      </c>
      <c r="J44" s="22">
        <v>121630</v>
      </c>
      <c r="K44" s="22">
        <v>91162.5</v>
      </c>
      <c r="L44" s="22">
        <v>63349</v>
      </c>
      <c r="M44" s="22">
        <v>72076.5</v>
      </c>
      <c r="N44" s="22">
        <v>71609.5</v>
      </c>
      <c r="O44" s="22">
        <v>293055.25</v>
      </c>
      <c r="P44" s="22">
        <v>5600</v>
      </c>
      <c r="Q44" s="22">
        <v>29386.5</v>
      </c>
      <c r="R44" s="22">
        <v>208638</v>
      </c>
      <c r="S44" s="22">
        <v>62991.5</v>
      </c>
      <c r="T44" s="749">
        <f t="shared" si="1"/>
        <v>2267188.25</v>
      </c>
      <c r="U44" s="1047"/>
      <c r="V44" s="1047"/>
    </row>
    <row r="45" spans="1:22">
      <c r="A45" s="90" t="s">
        <v>124</v>
      </c>
      <c r="B45" s="91" t="s">
        <v>183</v>
      </c>
      <c r="C45" s="91"/>
      <c r="D45" s="92"/>
      <c r="E45" s="19">
        <f>E46</f>
        <v>46000</v>
      </c>
      <c r="F45" s="19">
        <f t="shared" ref="F45:S45" si="18">F46</f>
        <v>28800</v>
      </c>
      <c r="G45" s="19">
        <f t="shared" si="18"/>
        <v>31200</v>
      </c>
      <c r="H45" s="19">
        <f t="shared" si="18"/>
        <v>37200</v>
      </c>
      <c r="I45" s="19">
        <f t="shared" si="18"/>
        <v>78400</v>
      </c>
      <c r="J45" s="19">
        <f t="shared" si="18"/>
        <v>23600</v>
      </c>
      <c r="K45" s="19">
        <f t="shared" si="18"/>
        <v>22400</v>
      </c>
      <c r="L45" s="19">
        <f t="shared" si="18"/>
        <v>18400</v>
      </c>
      <c r="M45" s="19">
        <f t="shared" si="18"/>
        <v>17200</v>
      </c>
      <c r="N45" s="19">
        <f t="shared" si="18"/>
        <v>17200</v>
      </c>
      <c r="O45" s="19">
        <f t="shared" si="18"/>
        <v>53200</v>
      </c>
      <c r="P45" s="19">
        <f t="shared" si="18"/>
        <v>600</v>
      </c>
      <c r="Q45" s="19">
        <f t="shared" si="18"/>
        <v>6400</v>
      </c>
      <c r="R45" s="19">
        <f t="shared" si="18"/>
        <v>32400</v>
      </c>
      <c r="S45" s="19">
        <f t="shared" si="18"/>
        <v>12800</v>
      </c>
      <c r="T45" s="749">
        <f t="shared" si="1"/>
        <v>425800</v>
      </c>
      <c r="U45" s="1047"/>
      <c r="V45" s="1047"/>
    </row>
    <row r="46" spans="1:22" s="96" customFormat="1" ht="33.75">
      <c r="A46" s="90" t="s">
        <v>126</v>
      </c>
      <c r="B46" s="95" t="s">
        <v>185</v>
      </c>
      <c r="C46" s="95" t="s">
        <v>35</v>
      </c>
      <c r="D46" s="103" t="s">
        <v>2338</v>
      </c>
      <c r="E46" s="22">
        <f>400*E65</f>
        <v>46000</v>
      </c>
      <c r="F46" s="22">
        <f t="shared" ref="F46:S46" si="19">400*F65</f>
        <v>28800</v>
      </c>
      <c r="G46" s="22">
        <f t="shared" si="19"/>
        <v>31200</v>
      </c>
      <c r="H46" s="22">
        <f t="shared" si="19"/>
        <v>37200</v>
      </c>
      <c r="I46" s="22">
        <f t="shared" si="19"/>
        <v>78400</v>
      </c>
      <c r="J46" s="22">
        <f t="shared" si="19"/>
        <v>23600</v>
      </c>
      <c r="K46" s="22">
        <f t="shared" si="19"/>
        <v>22400</v>
      </c>
      <c r="L46" s="22">
        <f t="shared" si="19"/>
        <v>18400</v>
      </c>
      <c r="M46" s="22">
        <f t="shared" si="19"/>
        <v>17200</v>
      </c>
      <c r="N46" s="22">
        <f t="shared" si="19"/>
        <v>17200</v>
      </c>
      <c r="O46" s="22">
        <f t="shared" si="19"/>
        <v>53200</v>
      </c>
      <c r="P46" s="22">
        <v>600</v>
      </c>
      <c r="Q46" s="22">
        <f t="shared" si="19"/>
        <v>6400</v>
      </c>
      <c r="R46" s="22">
        <f t="shared" si="19"/>
        <v>32400</v>
      </c>
      <c r="S46" s="22">
        <f t="shared" si="19"/>
        <v>12800</v>
      </c>
      <c r="T46" s="749">
        <f t="shared" si="1"/>
        <v>425800</v>
      </c>
      <c r="U46" s="1047"/>
      <c r="V46" s="1047"/>
    </row>
    <row r="47" spans="1:22">
      <c r="A47" s="90" t="s">
        <v>128</v>
      </c>
      <c r="B47" s="91" t="s">
        <v>188</v>
      </c>
      <c r="C47" s="91"/>
      <c r="D47" s="92" t="s">
        <v>28</v>
      </c>
      <c r="E47" s="19">
        <f>E48</f>
        <v>489330</v>
      </c>
      <c r="F47" s="19">
        <f t="shared" ref="F47:S47" si="20">F48</f>
        <v>135690</v>
      </c>
      <c r="G47" s="19">
        <f t="shared" si="20"/>
        <v>204405</v>
      </c>
      <c r="H47" s="19">
        <f t="shared" si="20"/>
        <v>268530</v>
      </c>
      <c r="I47" s="19">
        <f t="shared" si="20"/>
        <v>386583.60000000003</v>
      </c>
      <c r="J47" s="19">
        <f t="shared" si="20"/>
        <v>196585.65</v>
      </c>
      <c r="K47" s="19">
        <f t="shared" si="20"/>
        <v>205953.60000000003</v>
      </c>
      <c r="L47" s="19">
        <f t="shared" si="20"/>
        <v>99419.4</v>
      </c>
      <c r="M47" s="19">
        <f t="shared" si="20"/>
        <v>172176.15</v>
      </c>
      <c r="N47" s="19">
        <f t="shared" si="20"/>
        <v>136753.79999999999</v>
      </c>
      <c r="O47" s="19">
        <f t="shared" si="20"/>
        <v>509998.35</v>
      </c>
      <c r="P47" s="19">
        <f t="shared" si="20"/>
        <v>0</v>
      </c>
      <c r="Q47" s="19">
        <f t="shared" si="20"/>
        <v>65355</v>
      </c>
      <c r="R47" s="19">
        <f t="shared" si="20"/>
        <v>199268.7</v>
      </c>
      <c r="S47" s="19">
        <f t="shared" si="20"/>
        <v>59392.800000000003</v>
      </c>
      <c r="T47" s="749">
        <f t="shared" si="1"/>
        <v>3129442.05</v>
      </c>
      <c r="U47" s="1047"/>
      <c r="V47" s="1047"/>
    </row>
    <row r="48" spans="1:22" s="96" customFormat="1" ht="33.75">
      <c r="A48" s="90" t="s">
        <v>130</v>
      </c>
      <c r="B48" s="95" t="s">
        <v>190</v>
      </c>
      <c r="C48" s="95" t="s">
        <v>35</v>
      </c>
      <c r="D48" s="103" t="s">
        <v>2339</v>
      </c>
      <c r="E48" s="22">
        <f>15*E77</f>
        <v>489330</v>
      </c>
      <c r="F48" s="22">
        <f t="shared" ref="F48:S48" si="21">15*F77</f>
        <v>135690</v>
      </c>
      <c r="G48" s="22">
        <f t="shared" si="21"/>
        <v>204405</v>
      </c>
      <c r="H48" s="22">
        <f t="shared" si="21"/>
        <v>268530</v>
      </c>
      <c r="I48" s="22">
        <f t="shared" si="21"/>
        <v>386583.60000000003</v>
      </c>
      <c r="J48" s="22">
        <f t="shared" si="21"/>
        <v>196585.65</v>
      </c>
      <c r="K48" s="22">
        <f t="shared" si="21"/>
        <v>205953.60000000003</v>
      </c>
      <c r="L48" s="22">
        <f t="shared" si="21"/>
        <v>99419.4</v>
      </c>
      <c r="M48" s="22">
        <f t="shared" si="21"/>
        <v>172176.15</v>
      </c>
      <c r="N48" s="22">
        <f t="shared" si="21"/>
        <v>136753.79999999999</v>
      </c>
      <c r="O48" s="22">
        <f t="shared" si="21"/>
        <v>509998.35</v>
      </c>
      <c r="P48" s="22">
        <v>0</v>
      </c>
      <c r="Q48" s="22">
        <f t="shared" si="21"/>
        <v>65355</v>
      </c>
      <c r="R48" s="22">
        <f t="shared" si="21"/>
        <v>199268.7</v>
      </c>
      <c r="S48" s="22">
        <f t="shared" si="21"/>
        <v>59392.800000000003</v>
      </c>
      <c r="T48" s="749">
        <f t="shared" si="1"/>
        <v>3129442.05</v>
      </c>
      <c r="U48" s="1047"/>
      <c r="V48" s="1047"/>
    </row>
    <row r="49" spans="1:22">
      <c r="A49" s="90" t="s">
        <v>133</v>
      </c>
      <c r="B49" s="91" t="s">
        <v>193</v>
      </c>
      <c r="C49" s="91"/>
      <c r="D49" s="92" t="s">
        <v>28</v>
      </c>
      <c r="E49" s="19">
        <f>E50</f>
        <v>238592</v>
      </c>
      <c r="F49" s="19">
        <f t="shared" ref="F49:S49" si="22">F50</f>
        <v>69296</v>
      </c>
      <c r="G49" s="19">
        <f t="shared" si="22"/>
        <v>64000</v>
      </c>
      <c r="H49" s="19">
        <f t="shared" si="22"/>
        <v>64000</v>
      </c>
      <c r="I49" s="19">
        <f t="shared" si="22"/>
        <v>126840</v>
      </c>
      <c r="J49" s="19">
        <f t="shared" si="22"/>
        <v>37352</v>
      </c>
      <c r="K49" s="19">
        <f t="shared" si="22"/>
        <v>51136</v>
      </c>
      <c r="L49" s="19">
        <f t="shared" si="22"/>
        <v>37310.400000000001</v>
      </c>
      <c r="M49" s="19">
        <f t="shared" si="22"/>
        <v>52681.599999999999</v>
      </c>
      <c r="N49" s="19">
        <f t="shared" si="22"/>
        <v>24480</v>
      </c>
      <c r="O49" s="19">
        <f t="shared" si="22"/>
        <v>168480</v>
      </c>
      <c r="P49" s="19">
        <f t="shared" si="22"/>
        <v>0</v>
      </c>
      <c r="Q49" s="19">
        <f t="shared" si="22"/>
        <v>12040</v>
      </c>
      <c r="R49" s="19">
        <f t="shared" si="22"/>
        <v>54272</v>
      </c>
      <c r="S49" s="19">
        <f t="shared" si="22"/>
        <v>32104</v>
      </c>
      <c r="T49" s="749">
        <f t="shared" si="1"/>
        <v>1032584</v>
      </c>
      <c r="U49" s="1047"/>
      <c r="V49" s="1047"/>
    </row>
    <row r="50" spans="1:22" s="96" customFormat="1" ht="33.75">
      <c r="A50" s="90" t="s">
        <v>136</v>
      </c>
      <c r="B50" s="95" t="s">
        <v>195</v>
      </c>
      <c r="C50" s="95" t="s">
        <v>35</v>
      </c>
      <c r="D50" s="103" t="s">
        <v>2340</v>
      </c>
      <c r="E50" s="22">
        <f>8*E78</f>
        <v>238592</v>
      </c>
      <c r="F50" s="22">
        <f t="shared" ref="F50:S50" si="23">8*F78</f>
        <v>69296</v>
      </c>
      <c r="G50" s="22">
        <f t="shared" si="23"/>
        <v>64000</v>
      </c>
      <c r="H50" s="22">
        <f t="shared" si="23"/>
        <v>64000</v>
      </c>
      <c r="I50" s="22">
        <f t="shared" si="23"/>
        <v>126840</v>
      </c>
      <c r="J50" s="22">
        <f t="shared" si="23"/>
        <v>37352</v>
      </c>
      <c r="K50" s="22">
        <f t="shared" si="23"/>
        <v>51136</v>
      </c>
      <c r="L50" s="22">
        <f t="shared" si="23"/>
        <v>37310.400000000001</v>
      </c>
      <c r="M50" s="22">
        <f t="shared" si="23"/>
        <v>52681.599999999999</v>
      </c>
      <c r="N50" s="22">
        <f t="shared" si="23"/>
        <v>24480</v>
      </c>
      <c r="O50" s="22">
        <f t="shared" si="23"/>
        <v>168480</v>
      </c>
      <c r="P50" s="22">
        <f t="shared" si="23"/>
        <v>0</v>
      </c>
      <c r="Q50" s="22">
        <f t="shared" si="23"/>
        <v>12040</v>
      </c>
      <c r="R50" s="22">
        <f t="shared" si="23"/>
        <v>54272</v>
      </c>
      <c r="S50" s="22">
        <f t="shared" si="23"/>
        <v>32104</v>
      </c>
      <c r="T50" s="749">
        <f t="shared" si="1"/>
        <v>1032584</v>
      </c>
      <c r="U50" s="1047"/>
      <c r="V50" s="1047"/>
    </row>
    <row r="51" spans="1:22">
      <c r="A51" s="90" t="s">
        <v>138</v>
      </c>
      <c r="B51" s="91" t="s">
        <v>2341</v>
      </c>
      <c r="C51" s="91"/>
      <c r="D51" s="92" t="s">
        <v>28</v>
      </c>
      <c r="E51" s="19">
        <f>E52+E53</f>
        <v>885600</v>
      </c>
      <c r="F51" s="19">
        <f t="shared" ref="F51:S51" si="24">F52+F53</f>
        <v>540720</v>
      </c>
      <c r="G51" s="19">
        <f t="shared" si="24"/>
        <v>680040</v>
      </c>
      <c r="H51" s="19">
        <f t="shared" si="24"/>
        <v>602280</v>
      </c>
      <c r="I51" s="19">
        <f t="shared" si="24"/>
        <v>922680</v>
      </c>
      <c r="J51" s="19">
        <f t="shared" si="24"/>
        <v>239760</v>
      </c>
      <c r="K51" s="19">
        <f t="shared" si="24"/>
        <v>293760</v>
      </c>
      <c r="L51" s="19">
        <f t="shared" si="24"/>
        <v>279000</v>
      </c>
      <c r="M51" s="19">
        <f t="shared" si="24"/>
        <v>203040</v>
      </c>
      <c r="N51" s="19">
        <f t="shared" si="24"/>
        <v>196560</v>
      </c>
      <c r="O51" s="19">
        <f t="shared" si="24"/>
        <v>604080</v>
      </c>
      <c r="P51" s="19">
        <f t="shared" si="24"/>
        <v>32400</v>
      </c>
      <c r="Q51" s="19">
        <f t="shared" si="24"/>
        <v>62280</v>
      </c>
      <c r="R51" s="19">
        <f t="shared" si="24"/>
        <v>335520</v>
      </c>
      <c r="S51" s="19">
        <f t="shared" si="24"/>
        <v>173880</v>
      </c>
      <c r="T51" s="749">
        <f t="shared" si="1"/>
        <v>6051600</v>
      </c>
      <c r="U51" s="1047"/>
      <c r="V51" s="1047"/>
    </row>
    <row r="52" spans="1:22" s="96" customFormat="1" ht="22.5">
      <c r="A52" s="90" t="s">
        <v>141</v>
      </c>
      <c r="B52" s="95" t="s">
        <v>2342</v>
      </c>
      <c r="C52" s="95" t="s">
        <v>35</v>
      </c>
      <c r="D52" s="103" t="s">
        <v>2343</v>
      </c>
      <c r="E52" s="22">
        <f>117*4320+(-11)*360</f>
        <v>501480</v>
      </c>
      <c r="F52" s="22">
        <f>76*4320+(-29)*360</f>
        <v>317880</v>
      </c>
      <c r="G52" s="22">
        <f>80*4320</f>
        <v>345600</v>
      </c>
      <c r="H52" s="22">
        <f>94*4320+(-11)*360</f>
        <v>402120</v>
      </c>
      <c r="I52" s="22">
        <f>200*4320+(-35)*360</f>
        <v>851400</v>
      </c>
      <c r="J52" s="22">
        <f>53*4320+30*360</f>
        <v>239760</v>
      </c>
      <c r="K52" s="22">
        <f>57*4320+(-5)*360</f>
        <v>244440</v>
      </c>
      <c r="L52" s="22">
        <f>48*4320+(-12)*360</f>
        <v>203040</v>
      </c>
      <c r="M52" s="22">
        <f>43*4320</f>
        <v>185760</v>
      </c>
      <c r="N52" s="22">
        <f>45*4320+(-18)*360</f>
        <v>187920</v>
      </c>
      <c r="O52" s="22">
        <f>140*4320+(-49)*360</f>
        <v>587160</v>
      </c>
      <c r="P52" s="22">
        <f>5*4320+(-6)*360</f>
        <v>19440</v>
      </c>
      <c r="Q52" s="22">
        <f>13*4320+17*360</f>
        <v>62280</v>
      </c>
      <c r="R52" s="22">
        <f>70*4320+57*360</f>
        <v>322920</v>
      </c>
      <c r="S52" s="22">
        <f>30*4320+3*360</f>
        <v>130680</v>
      </c>
      <c r="T52" s="749">
        <f t="shared" si="1"/>
        <v>4601880</v>
      </c>
      <c r="U52" s="1047"/>
      <c r="V52" s="1047"/>
    </row>
    <row r="53" spans="1:22" s="96" customFormat="1" ht="22.5">
      <c r="A53" s="90" t="s">
        <v>143</v>
      </c>
      <c r="B53" s="95" t="s">
        <v>2344</v>
      </c>
      <c r="C53" s="95" t="s">
        <v>35</v>
      </c>
      <c r="D53" s="103" t="s">
        <v>2345</v>
      </c>
      <c r="E53" s="22">
        <v>384120</v>
      </c>
      <c r="F53" s="22">
        <f>50*4320+19*360</f>
        <v>222840</v>
      </c>
      <c r="G53" s="22">
        <v>334440</v>
      </c>
      <c r="H53" s="22">
        <v>200160</v>
      </c>
      <c r="I53" s="22">
        <f>16*4320+6*360</f>
        <v>71280</v>
      </c>
      <c r="J53" s="22"/>
      <c r="K53" s="22">
        <f>11*4320+5*360</f>
        <v>49320</v>
      </c>
      <c r="L53" s="22">
        <f>17*4320+7*360</f>
        <v>75960</v>
      </c>
      <c r="M53" s="22">
        <f>4*4320</f>
        <v>17280</v>
      </c>
      <c r="N53" s="22">
        <f>1*4320+12*360</f>
        <v>8640</v>
      </c>
      <c r="O53" s="22">
        <f>2*4320+23*360</f>
        <v>16920</v>
      </c>
      <c r="P53" s="22">
        <f>3*4320</f>
        <v>12960</v>
      </c>
      <c r="Q53" s="22"/>
      <c r="R53" s="22">
        <f>1*4320+23*360</f>
        <v>12600</v>
      </c>
      <c r="S53" s="22">
        <f>9*4320+12*360</f>
        <v>43200</v>
      </c>
      <c r="T53" s="749">
        <f t="shared" si="1"/>
        <v>1449720</v>
      </c>
      <c r="U53" s="1047"/>
      <c r="V53" s="1047"/>
    </row>
    <row r="54" spans="1:22">
      <c r="A54" s="90" t="s">
        <v>146</v>
      </c>
      <c r="B54" s="91" t="s">
        <v>2346</v>
      </c>
      <c r="C54" s="91"/>
      <c r="D54" s="92" t="s">
        <v>28</v>
      </c>
      <c r="E54" s="19">
        <f>E55</f>
        <v>599997.48</v>
      </c>
      <c r="F54" s="19">
        <f t="shared" ref="F54:S54" si="25">F55</f>
        <v>358642.12</v>
      </c>
      <c r="G54" s="19">
        <f t="shared" si="25"/>
        <v>368927.56000000006</v>
      </c>
      <c r="H54" s="19">
        <f t="shared" si="25"/>
        <v>414328.72000000009</v>
      </c>
      <c r="I54" s="19">
        <f t="shared" si="25"/>
        <v>827426.0399999998</v>
      </c>
      <c r="J54" s="19">
        <f t="shared" si="25"/>
        <v>207951.44</v>
      </c>
      <c r="K54" s="19">
        <f t="shared" si="25"/>
        <v>244299.32000000004</v>
      </c>
      <c r="L54" s="19">
        <f t="shared" si="25"/>
        <v>194571.92000000004</v>
      </c>
      <c r="M54" s="19">
        <f t="shared" si="25"/>
        <v>173446.88</v>
      </c>
      <c r="N54" s="19">
        <f t="shared" si="25"/>
        <v>179052.75999999998</v>
      </c>
      <c r="O54" s="19">
        <f t="shared" si="25"/>
        <v>615309.5199999999</v>
      </c>
      <c r="P54" s="19">
        <f t="shared" si="25"/>
        <v>24252.039999999997</v>
      </c>
      <c r="Q54" s="19">
        <f t="shared" si="25"/>
        <v>54077.72</v>
      </c>
      <c r="R54" s="19">
        <f t="shared" si="25"/>
        <v>274700.59999999998</v>
      </c>
      <c r="S54" s="19">
        <f t="shared" si="25"/>
        <v>118150.6</v>
      </c>
      <c r="T54" s="749">
        <f t="shared" si="1"/>
        <v>4655134.7199999979</v>
      </c>
      <c r="U54" s="1047"/>
      <c r="V54" s="1047"/>
    </row>
    <row r="55" spans="1:22" s="96" customFormat="1" ht="22.5">
      <c r="A55" s="90" t="s">
        <v>148</v>
      </c>
      <c r="B55" s="95" t="s">
        <v>209</v>
      </c>
      <c r="C55" s="95" t="s">
        <v>35</v>
      </c>
      <c r="D55" s="92" t="s">
        <v>2347</v>
      </c>
      <c r="E55" s="22">
        <f>E14*4</f>
        <v>599997.48</v>
      </c>
      <c r="F55" s="22">
        <f t="shared" ref="F55:S55" si="26">F14*4</f>
        <v>358642.12</v>
      </c>
      <c r="G55" s="22">
        <f t="shared" si="26"/>
        <v>368927.56000000006</v>
      </c>
      <c r="H55" s="22">
        <f t="shared" si="26"/>
        <v>414328.72000000009</v>
      </c>
      <c r="I55" s="22">
        <f t="shared" si="26"/>
        <v>827426.0399999998</v>
      </c>
      <c r="J55" s="22">
        <f t="shared" si="26"/>
        <v>207951.44</v>
      </c>
      <c r="K55" s="22">
        <f t="shared" si="26"/>
        <v>244299.32000000004</v>
      </c>
      <c r="L55" s="22">
        <f t="shared" si="26"/>
        <v>194571.92000000004</v>
      </c>
      <c r="M55" s="22">
        <f t="shared" si="26"/>
        <v>173446.88</v>
      </c>
      <c r="N55" s="22">
        <f t="shared" si="26"/>
        <v>179052.75999999998</v>
      </c>
      <c r="O55" s="22">
        <f t="shared" si="26"/>
        <v>615309.5199999999</v>
      </c>
      <c r="P55" s="22">
        <f t="shared" si="26"/>
        <v>24252.039999999997</v>
      </c>
      <c r="Q55" s="22">
        <f t="shared" si="26"/>
        <v>54077.72</v>
      </c>
      <c r="R55" s="22">
        <f t="shared" si="26"/>
        <v>274700.59999999998</v>
      </c>
      <c r="S55" s="22">
        <f t="shared" si="26"/>
        <v>118150.6</v>
      </c>
      <c r="T55" s="749">
        <f t="shared" si="1"/>
        <v>4655134.7199999979</v>
      </c>
      <c r="U55" s="1047"/>
      <c r="V55" s="1047"/>
    </row>
    <row r="56" spans="1:22">
      <c r="A56" s="90" t="s">
        <v>150</v>
      </c>
      <c r="B56" s="91" t="s">
        <v>2348</v>
      </c>
      <c r="C56" s="91"/>
      <c r="D56" s="92" t="s">
        <v>28</v>
      </c>
      <c r="E56" s="19">
        <f>E57</f>
        <v>20000</v>
      </c>
      <c r="F56" s="19">
        <f t="shared" ref="F56:S56" si="27">F57</f>
        <v>20000</v>
      </c>
      <c r="G56" s="19">
        <f t="shared" si="27"/>
        <v>8193.83</v>
      </c>
      <c r="H56" s="19">
        <f t="shared" si="27"/>
        <v>16675</v>
      </c>
      <c r="I56" s="19">
        <f t="shared" si="27"/>
        <v>64000</v>
      </c>
      <c r="J56" s="19">
        <f t="shared" si="27"/>
        <v>0</v>
      </c>
      <c r="K56" s="19">
        <f t="shared" si="27"/>
        <v>24262.91</v>
      </c>
      <c r="L56" s="19">
        <f t="shared" si="27"/>
        <v>32000</v>
      </c>
      <c r="M56" s="19">
        <f t="shared" si="27"/>
        <v>0</v>
      </c>
      <c r="N56" s="19">
        <f t="shared" si="27"/>
        <v>0</v>
      </c>
      <c r="O56" s="19">
        <f t="shared" si="27"/>
        <v>28000</v>
      </c>
      <c r="P56" s="19">
        <f t="shared" si="27"/>
        <v>5377.74</v>
      </c>
      <c r="Q56" s="19">
        <f t="shared" si="27"/>
        <v>0</v>
      </c>
      <c r="R56" s="19">
        <f t="shared" si="27"/>
        <v>0</v>
      </c>
      <c r="S56" s="19">
        <f t="shared" si="27"/>
        <v>0</v>
      </c>
      <c r="T56" s="749">
        <f t="shared" si="1"/>
        <v>218509.47999999998</v>
      </c>
      <c r="U56" s="1047"/>
      <c r="V56" s="1047"/>
    </row>
    <row r="57" spans="1:22" ht="90">
      <c r="A57" s="90" t="s">
        <v>152</v>
      </c>
      <c r="B57" s="91" t="s">
        <v>213</v>
      </c>
      <c r="C57" s="91" t="s">
        <v>35</v>
      </c>
      <c r="D57" s="102" t="s">
        <v>2349</v>
      </c>
      <c r="E57" s="22">
        <v>20000</v>
      </c>
      <c r="F57" s="22">
        <v>20000</v>
      </c>
      <c r="G57" s="22">
        <v>8193.83</v>
      </c>
      <c r="H57" s="22">
        <v>16675</v>
      </c>
      <c r="I57" s="22">
        <v>64000</v>
      </c>
      <c r="J57" s="22"/>
      <c r="K57" s="22">
        <v>24262.91</v>
      </c>
      <c r="L57" s="22">
        <v>32000</v>
      </c>
      <c r="M57" s="22"/>
      <c r="N57" s="22"/>
      <c r="O57" s="22">
        <v>28000</v>
      </c>
      <c r="P57" s="22">
        <v>5377.74</v>
      </c>
      <c r="Q57" s="22"/>
      <c r="R57" s="22"/>
      <c r="S57" s="22"/>
      <c r="T57" s="749">
        <f t="shared" si="1"/>
        <v>218509.47999999998</v>
      </c>
      <c r="U57" s="1047"/>
      <c r="V57" s="1047"/>
    </row>
    <row r="58" spans="1:22">
      <c r="A58" s="90" t="s">
        <v>154</v>
      </c>
      <c r="B58" s="91" t="s">
        <v>2350</v>
      </c>
      <c r="C58" s="91"/>
      <c r="D58" s="92" t="s">
        <v>28</v>
      </c>
      <c r="E58" s="19">
        <f>E59+E61</f>
        <v>41975</v>
      </c>
      <c r="F58" s="19">
        <f t="shared" ref="F58:S58" si="28">F59+F61</f>
        <v>23800</v>
      </c>
      <c r="G58" s="19">
        <f t="shared" si="28"/>
        <v>31800</v>
      </c>
      <c r="H58" s="19">
        <f t="shared" si="28"/>
        <v>21700</v>
      </c>
      <c r="I58" s="19">
        <f t="shared" si="28"/>
        <v>11350</v>
      </c>
      <c r="J58" s="19">
        <f t="shared" si="28"/>
        <v>8300</v>
      </c>
      <c r="K58" s="19">
        <f t="shared" si="28"/>
        <v>9300</v>
      </c>
      <c r="L58" s="19">
        <f t="shared" si="28"/>
        <v>10800</v>
      </c>
      <c r="M58" s="19">
        <f t="shared" si="28"/>
        <v>6300</v>
      </c>
      <c r="N58" s="19">
        <f t="shared" si="28"/>
        <v>2750</v>
      </c>
      <c r="O58" s="19">
        <f t="shared" si="28"/>
        <v>6200</v>
      </c>
      <c r="P58" s="19">
        <f t="shared" si="28"/>
        <v>1200</v>
      </c>
      <c r="Q58" s="19">
        <f t="shared" si="28"/>
        <v>1770</v>
      </c>
      <c r="R58" s="19">
        <f t="shared" si="28"/>
        <v>3600</v>
      </c>
      <c r="S58" s="19">
        <f t="shared" si="28"/>
        <v>6090</v>
      </c>
      <c r="T58" s="749">
        <f t="shared" si="1"/>
        <v>186935</v>
      </c>
      <c r="U58" s="1047"/>
      <c r="V58" s="1047"/>
    </row>
    <row r="59" spans="1:22">
      <c r="A59" s="90" t="s">
        <v>156</v>
      </c>
      <c r="B59" s="91" t="s">
        <v>2351</v>
      </c>
      <c r="C59" s="91" t="s">
        <v>35</v>
      </c>
      <c r="D59" s="92" t="s">
        <v>28</v>
      </c>
      <c r="E59" s="19">
        <f>E60</f>
        <v>35600</v>
      </c>
      <c r="F59" s="19">
        <f t="shared" ref="F59:S59" si="29">F60</f>
        <v>20800</v>
      </c>
      <c r="G59" s="19">
        <f t="shared" si="29"/>
        <v>30800</v>
      </c>
      <c r="H59" s="19">
        <f t="shared" si="29"/>
        <v>18000</v>
      </c>
      <c r="I59" s="19">
        <f t="shared" si="29"/>
        <v>6800</v>
      </c>
      <c r="J59" s="19">
        <f t="shared" si="29"/>
        <v>0</v>
      </c>
      <c r="K59" s="19">
        <f t="shared" si="29"/>
        <v>4800</v>
      </c>
      <c r="L59" s="19">
        <f t="shared" si="29"/>
        <v>7200</v>
      </c>
      <c r="M59" s="19">
        <f t="shared" si="29"/>
        <v>1600</v>
      </c>
      <c r="N59" s="19">
        <f t="shared" si="29"/>
        <v>400</v>
      </c>
      <c r="O59" s="19">
        <f t="shared" si="29"/>
        <v>1200</v>
      </c>
      <c r="P59" s="19">
        <f t="shared" si="29"/>
        <v>1200</v>
      </c>
      <c r="Q59" s="19">
        <f t="shared" si="29"/>
        <v>0</v>
      </c>
      <c r="R59" s="19">
        <f t="shared" si="29"/>
        <v>1600</v>
      </c>
      <c r="S59" s="19">
        <f t="shared" si="29"/>
        <v>3600</v>
      </c>
      <c r="T59" s="749">
        <f t="shared" si="1"/>
        <v>133600</v>
      </c>
      <c r="U59" s="1047"/>
      <c r="V59" s="1047"/>
    </row>
    <row r="60" spans="1:22" s="96" customFormat="1" ht="45">
      <c r="A60" s="90" t="s">
        <v>158</v>
      </c>
      <c r="B60" s="95" t="s">
        <v>227</v>
      </c>
      <c r="C60" s="95" t="s">
        <v>35</v>
      </c>
      <c r="D60" s="103" t="s">
        <v>2352</v>
      </c>
      <c r="E60" s="22">
        <f>400*E76</f>
        <v>35600</v>
      </c>
      <c r="F60" s="22">
        <f t="shared" ref="F60:S60" si="30">400*F76</f>
        <v>20800</v>
      </c>
      <c r="G60" s="22">
        <f t="shared" si="30"/>
        <v>30800</v>
      </c>
      <c r="H60" s="22">
        <f t="shared" si="30"/>
        <v>18000</v>
      </c>
      <c r="I60" s="22">
        <f t="shared" si="30"/>
        <v>6800</v>
      </c>
      <c r="J60" s="22">
        <f t="shared" si="30"/>
        <v>0</v>
      </c>
      <c r="K60" s="22">
        <f t="shared" si="30"/>
        <v>4800</v>
      </c>
      <c r="L60" s="22">
        <f t="shared" si="30"/>
        <v>7200</v>
      </c>
      <c r="M60" s="22">
        <f t="shared" si="30"/>
        <v>1600</v>
      </c>
      <c r="N60" s="22">
        <f t="shared" si="30"/>
        <v>400</v>
      </c>
      <c r="O60" s="22">
        <f t="shared" si="30"/>
        <v>1200</v>
      </c>
      <c r="P60" s="22">
        <f t="shared" si="30"/>
        <v>1200</v>
      </c>
      <c r="Q60" s="22">
        <f t="shared" si="30"/>
        <v>0</v>
      </c>
      <c r="R60" s="22">
        <f t="shared" si="30"/>
        <v>1600</v>
      </c>
      <c r="S60" s="22">
        <f t="shared" si="30"/>
        <v>3600</v>
      </c>
      <c r="T60" s="749">
        <f t="shared" si="1"/>
        <v>133600</v>
      </c>
      <c r="U60" s="1047"/>
      <c r="V60" s="1047"/>
    </row>
    <row r="61" spans="1:22" ht="22.5">
      <c r="A61" s="90" t="s">
        <v>160</v>
      </c>
      <c r="B61" s="91" t="s">
        <v>2353</v>
      </c>
      <c r="C61" s="91" t="s">
        <v>35</v>
      </c>
      <c r="D61" s="102" t="s">
        <v>2354</v>
      </c>
      <c r="E61" s="104">
        <f>[3]明细!I271</f>
        <v>6375</v>
      </c>
      <c r="F61" s="104">
        <f>[3]明细!H314</f>
        <v>3000</v>
      </c>
      <c r="G61" s="104">
        <f>[3]明细!H79</f>
        <v>1000</v>
      </c>
      <c r="H61" s="104">
        <f>[3]明细!H37</f>
        <v>3700</v>
      </c>
      <c r="I61" s="104">
        <f>[3]明细!H58</f>
        <v>4550</v>
      </c>
      <c r="J61" s="104">
        <f>[3]明细!I228</f>
        <v>8300</v>
      </c>
      <c r="K61" s="104">
        <f>[3]明细!I142</f>
        <v>4500</v>
      </c>
      <c r="L61" s="104">
        <f>[3]明细!I205</f>
        <v>3600</v>
      </c>
      <c r="M61" s="104">
        <f>[3]明细!I162</f>
        <v>4700</v>
      </c>
      <c r="N61" s="104">
        <f>[3]明细!I100</f>
        <v>2350</v>
      </c>
      <c r="O61" s="104">
        <f>[3]明细!H292</f>
        <v>5000</v>
      </c>
      <c r="P61" s="104">
        <f>[3]明细!H16</f>
        <v>0</v>
      </c>
      <c r="Q61" s="104">
        <f>[3]明细!I121</f>
        <v>1770</v>
      </c>
      <c r="R61" s="104">
        <f>[3]明细!I249</f>
        <v>2000</v>
      </c>
      <c r="S61" s="104">
        <f>[3]明细!I183</f>
        <v>2490</v>
      </c>
      <c r="T61" s="749">
        <f t="shared" si="1"/>
        <v>53335</v>
      </c>
      <c r="U61" s="1047"/>
      <c r="V61" s="1047"/>
    </row>
    <row r="62" spans="1:22">
      <c r="A62" s="90" t="s">
        <v>162</v>
      </c>
      <c r="B62" s="91" t="s">
        <v>2355</v>
      </c>
      <c r="C62" s="91"/>
      <c r="D62" s="92" t="s">
        <v>28</v>
      </c>
      <c r="E62" s="19">
        <f>E63</f>
        <v>0</v>
      </c>
      <c r="F62" s="19">
        <f t="shared" ref="F62:S62" si="31">F63</f>
        <v>0</v>
      </c>
      <c r="G62" s="19">
        <f t="shared" si="31"/>
        <v>0</v>
      </c>
      <c r="H62" s="19">
        <f t="shared" si="31"/>
        <v>0</v>
      </c>
      <c r="I62" s="19">
        <f t="shared" si="31"/>
        <v>0</v>
      </c>
      <c r="J62" s="19">
        <f t="shared" si="31"/>
        <v>10000</v>
      </c>
      <c r="K62" s="19">
        <f t="shared" si="31"/>
        <v>3280</v>
      </c>
      <c r="L62" s="19">
        <f t="shared" si="31"/>
        <v>0</v>
      </c>
      <c r="M62" s="19">
        <f t="shared" si="31"/>
        <v>28000</v>
      </c>
      <c r="N62" s="19">
        <f t="shared" si="31"/>
        <v>25550</v>
      </c>
      <c r="O62" s="19">
        <f t="shared" si="31"/>
        <v>0</v>
      </c>
      <c r="P62" s="19">
        <f t="shared" si="31"/>
        <v>0</v>
      </c>
      <c r="Q62" s="19">
        <f t="shared" si="31"/>
        <v>10000</v>
      </c>
      <c r="R62" s="19">
        <f t="shared" si="31"/>
        <v>20000</v>
      </c>
      <c r="S62" s="19">
        <f t="shared" si="31"/>
        <v>20000</v>
      </c>
      <c r="T62" s="749">
        <f t="shared" si="1"/>
        <v>116830</v>
      </c>
      <c r="U62" s="1047"/>
      <c r="V62" s="1047"/>
    </row>
    <row r="63" spans="1:22" ht="135.75" thickBot="1">
      <c r="A63" s="90" t="s">
        <v>164</v>
      </c>
      <c r="B63" s="105" t="s">
        <v>237</v>
      </c>
      <c r="C63" s="91" t="s">
        <v>35</v>
      </c>
      <c r="D63" s="106" t="s">
        <v>2356</v>
      </c>
      <c r="E63" s="107"/>
      <c r="F63" s="107"/>
      <c r="G63" s="107"/>
      <c r="H63" s="107"/>
      <c r="I63" s="107"/>
      <c r="J63" s="107">
        <v>10000</v>
      </c>
      <c r="K63" s="107">
        <v>3280</v>
      </c>
      <c r="L63" s="107"/>
      <c r="M63" s="107">
        <v>28000</v>
      </c>
      <c r="N63" s="22">
        <v>25550</v>
      </c>
      <c r="O63" s="107"/>
      <c r="P63" s="107"/>
      <c r="Q63" s="107">
        <v>10000</v>
      </c>
      <c r="R63" s="107">
        <v>20000</v>
      </c>
      <c r="S63" s="107">
        <v>20000</v>
      </c>
      <c r="T63" s="749">
        <f t="shared" si="1"/>
        <v>116830</v>
      </c>
      <c r="U63" s="1048"/>
      <c r="V63" s="1048"/>
    </row>
    <row r="64" spans="1:22" ht="12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9">
        <f t="shared" si="1"/>
        <v>0</v>
      </c>
      <c r="U64" s="98"/>
      <c r="V64" s="748"/>
    </row>
    <row r="65" spans="1:22" ht="33.75">
      <c r="A65" s="90" t="s">
        <v>170</v>
      </c>
      <c r="B65" s="91" t="s">
        <v>242</v>
      </c>
      <c r="C65" s="91"/>
      <c r="D65" s="92" t="s">
        <v>2357</v>
      </c>
      <c r="E65" s="19">
        <f>E66+E67+E68+E69</f>
        <v>115</v>
      </c>
      <c r="F65" s="19">
        <f t="shared" ref="F65:S65" si="32">F66+F67+F68+F69</f>
        <v>72</v>
      </c>
      <c r="G65" s="19">
        <f t="shared" si="32"/>
        <v>78</v>
      </c>
      <c r="H65" s="19">
        <f t="shared" si="32"/>
        <v>93</v>
      </c>
      <c r="I65" s="19">
        <f t="shared" si="32"/>
        <v>196</v>
      </c>
      <c r="J65" s="19">
        <f t="shared" si="32"/>
        <v>59</v>
      </c>
      <c r="K65" s="19">
        <f t="shared" si="32"/>
        <v>56</v>
      </c>
      <c r="L65" s="19">
        <f t="shared" si="32"/>
        <v>46</v>
      </c>
      <c r="M65" s="19">
        <f t="shared" si="32"/>
        <v>43</v>
      </c>
      <c r="N65" s="19">
        <f t="shared" si="32"/>
        <v>43</v>
      </c>
      <c r="O65" s="19">
        <f t="shared" si="32"/>
        <v>133</v>
      </c>
      <c r="P65" s="19">
        <f t="shared" si="32"/>
        <v>5</v>
      </c>
      <c r="Q65" s="19">
        <f t="shared" si="32"/>
        <v>16</v>
      </c>
      <c r="R65" s="19">
        <f t="shared" si="32"/>
        <v>81</v>
      </c>
      <c r="S65" s="19">
        <f t="shared" si="32"/>
        <v>32</v>
      </c>
      <c r="T65" s="19">
        <f t="shared" si="1"/>
        <v>1068</v>
      </c>
      <c r="U65" s="751">
        <v>1071</v>
      </c>
      <c r="V65" s="752">
        <f>T65-U65</f>
        <v>-3</v>
      </c>
    </row>
    <row r="66" spans="1:22">
      <c r="A66" s="90" t="s">
        <v>172</v>
      </c>
      <c r="B66" s="113" t="s">
        <v>245</v>
      </c>
      <c r="C66" s="113"/>
      <c r="D66" s="98"/>
      <c r="E66" s="99">
        <v>115</v>
      </c>
      <c r="F66" s="99">
        <v>72</v>
      </c>
      <c r="G66" s="99"/>
      <c r="H66" s="99"/>
      <c r="I66" s="99"/>
      <c r="J66" s="99"/>
      <c r="K66" s="99"/>
      <c r="L66" s="99"/>
      <c r="M66" s="99"/>
      <c r="N66" s="99"/>
      <c r="O66" s="99">
        <v>64</v>
      </c>
      <c r="P66" s="99"/>
      <c r="Q66" s="99"/>
      <c r="R66" s="99">
        <v>81</v>
      </c>
      <c r="S66" s="99"/>
      <c r="T66" s="19">
        <f t="shared" si="1"/>
        <v>332</v>
      </c>
      <c r="U66" s="751">
        <v>403</v>
      </c>
      <c r="V66" s="752">
        <f t="shared" ref="V66:V78" si="33">T66-U66</f>
        <v>-71</v>
      </c>
    </row>
    <row r="67" spans="1:22">
      <c r="A67" s="90" t="s">
        <v>174</v>
      </c>
      <c r="B67" s="113" t="s">
        <v>247</v>
      </c>
      <c r="C67" s="113"/>
      <c r="D67" s="92"/>
      <c r="E67" s="22"/>
      <c r="F67" s="22"/>
      <c r="G67" s="22">
        <v>78</v>
      </c>
      <c r="H67" s="22">
        <v>93</v>
      </c>
      <c r="I67" s="22">
        <v>196</v>
      </c>
      <c r="J67" s="22">
        <v>59</v>
      </c>
      <c r="K67" s="22"/>
      <c r="L67" s="22"/>
      <c r="M67" s="22"/>
      <c r="N67" s="22"/>
      <c r="O67" s="22">
        <v>69</v>
      </c>
      <c r="P67" s="22"/>
      <c r="Q67" s="22"/>
      <c r="R67" s="22"/>
      <c r="S67" s="22"/>
      <c r="T67" s="19">
        <f t="shared" ref="T67:T78" si="34">SUM(E67:S67)</f>
        <v>495</v>
      </c>
      <c r="U67" s="751">
        <v>427</v>
      </c>
      <c r="V67" s="752">
        <f t="shared" si="33"/>
        <v>68</v>
      </c>
    </row>
    <row r="68" spans="1:22">
      <c r="A68" s="90" t="s">
        <v>176</v>
      </c>
      <c r="B68" s="113" t="s">
        <v>249</v>
      </c>
      <c r="C68" s="113"/>
      <c r="D68" s="98"/>
      <c r="E68" s="99"/>
      <c r="F68" s="99"/>
      <c r="G68" s="99"/>
      <c r="H68" s="99"/>
      <c r="I68" s="99"/>
      <c r="J68" s="99"/>
      <c r="K68" s="99">
        <v>56</v>
      </c>
      <c r="L68" s="99">
        <v>46</v>
      </c>
      <c r="M68" s="99">
        <v>43</v>
      </c>
      <c r="N68" s="99">
        <v>43</v>
      </c>
      <c r="O68" s="99"/>
      <c r="P68" s="99"/>
      <c r="Q68" s="99">
        <v>16</v>
      </c>
      <c r="R68" s="99"/>
      <c r="S68" s="99">
        <v>32</v>
      </c>
      <c r="T68" s="19">
        <f t="shared" si="34"/>
        <v>236</v>
      </c>
      <c r="U68" s="751">
        <v>236</v>
      </c>
      <c r="V68" s="752">
        <f t="shared" si="33"/>
        <v>0</v>
      </c>
    </row>
    <row r="69" spans="1:22">
      <c r="A69" s="90" t="s">
        <v>178</v>
      </c>
      <c r="B69" s="113" t="s">
        <v>251</v>
      </c>
      <c r="C69" s="113"/>
      <c r="D69" s="98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>
        <v>5</v>
      </c>
      <c r="Q69" s="99"/>
      <c r="R69" s="99"/>
      <c r="S69" s="99"/>
      <c r="T69" s="19">
        <f t="shared" si="34"/>
        <v>5</v>
      </c>
      <c r="U69" s="751">
        <v>5</v>
      </c>
      <c r="V69" s="752">
        <f t="shared" si="33"/>
        <v>0</v>
      </c>
    </row>
    <row r="70" spans="1:22" ht="56.25">
      <c r="A70" s="90" t="s">
        <v>180</v>
      </c>
      <c r="B70" s="91" t="s">
        <v>253</v>
      </c>
      <c r="C70" s="91"/>
      <c r="D70" s="92" t="s">
        <v>2358</v>
      </c>
      <c r="E70" s="19">
        <f>E71+E72+E73+E74</f>
        <v>1289</v>
      </c>
      <c r="F70" s="19">
        <f t="shared" ref="F70:S70" si="35">F71+F72+F73+F74</f>
        <v>908</v>
      </c>
      <c r="G70" s="19">
        <f t="shared" si="35"/>
        <v>924</v>
      </c>
      <c r="H70" s="19">
        <f t="shared" si="35"/>
        <v>1002</v>
      </c>
      <c r="I70" s="19">
        <f t="shared" si="35"/>
        <v>3298</v>
      </c>
      <c r="J70" s="19">
        <f t="shared" si="35"/>
        <v>819</v>
      </c>
      <c r="K70" s="19">
        <f t="shared" si="35"/>
        <v>594</v>
      </c>
      <c r="L70" s="19">
        <f t="shared" si="35"/>
        <v>432</v>
      </c>
      <c r="M70" s="19">
        <f t="shared" si="35"/>
        <v>492</v>
      </c>
      <c r="N70" s="19">
        <f t="shared" si="35"/>
        <v>484</v>
      </c>
      <c r="O70" s="19">
        <f t="shared" si="35"/>
        <v>1782</v>
      </c>
      <c r="P70" s="19">
        <f t="shared" si="35"/>
        <v>0</v>
      </c>
      <c r="Q70" s="19">
        <f t="shared" si="35"/>
        <v>247</v>
      </c>
      <c r="R70" s="19">
        <f t="shared" si="35"/>
        <v>1158</v>
      </c>
      <c r="S70" s="19">
        <f t="shared" si="35"/>
        <v>415</v>
      </c>
      <c r="T70" s="19">
        <f t="shared" si="34"/>
        <v>13844</v>
      </c>
      <c r="U70" s="751">
        <v>13256</v>
      </c>
      <c r="V70" s="752">
        <f t="shared" si="33"/>
        <v>588</v>
      </c>
    </row>
    <row r="71" spans="1:22">
      <c r="A71" s="90" t="s">
        <v>182</v>
      </c>
      <c r="B71" s="113" t="s">
        <v>245</v>
      </c>
      <c r="C71" s="113"/>
      <c r="D71" s="98"/>
      <c r="E71" s="99">
        <v>1289</v>
      </c>
      <c r="F71" s="99">
        <v>908</v>
      </c>
      <c r="G71" s="99"/>
      <c r="H71" s="99"/>
      <c r="I71" s="99"/>
      <c r="J71" s="99"/>
      <c r="K71" s="99"/>
      <c r="L71" s="99"/>
      <c r="M71" s="99"/>
      <c r="N71" s="99"/>
      <c r="O71" s="99">
        <v>779</v>
      </c>
      <c r="P71" s="99"/>
      <c r="Q71" s="99"/>
      <c r="R71" s="99">
        <v>1158</v>
      </c>
      <c r="S71" s="99"/>
      <c r="T71" s="19">
        <f t="shared" si="34"/>
        <v>4134</v>
      </c>
      <c r="U71" s="751">
        <v>3640</v>
      </c>
      <c r="V71" s="752">
        <f t="shared" si="33"/>
        <v>494</v>
      </c>
    </row>
    <row r="72" spans="1:22">
      <c r="A72" s="90" t="s">
        <v>184</v>
      </c>
      <c r="B72" s="113" t="s">
        <v>247</v>
      </c>
      <c r="C72" s="113"/>
      <c r="D72" s="92"/>
      <c r="E72" s="22"/>
      <c r="F72" s="22"/>
      <c r="G72" s="22">
        <v>924</v>
      </c>
      <c r="H72" s="22">
        <v>1002</v>
      </c>
      <c r="I72" s="22">
        <v>3298</v>
      </c>
      <c r="J72" s="22">
        <v>819</v>
      </c>
      <c r="K72" s="22"/>
      <c r="L72" s="22"/>
      <c r="M72" s="22"/>
      <c r="N72" s="22"/>
      <c r="O72" s="22">
        <v>1003</v>
      </c>
      <c r="P72" s="22"/>
      <c r="Q72" s="22"/>
      <c r="R72" s="22"/>
      <c r="S72" s="22"/>
      <c r="T72" s="19">
        <f t="shared" si="34"/>
        <v>7046</v>
      </c>
      <c r="U72" s="751">
        <v>6831</v>
      </c>
      <c r="V72" s="752">
        <f t="shared" si="33"/>
        <v>215</v>
      </c>
    </row>
    <row r="73" spans="1:22">
      <c r="A73" s="90" t="s">
        <v>187</v>
      </c>
      <c r="B73" s="113" t="s">
        <v>249</v>
      </c>
      <c r="C73" s="113"/>
      <c r="D73" s="98"/>
      <c r="E73" s="99"/>
      <c r="F73" s="99"/>
      <c r="G73" s="99"/>
      <c r="H73" s="99"/>
      <c r="I73" s="99"/>
      <c r="J73" s="99"/>
      <c r="K73" s="99">
        <v>594</v>
      </c>
      <c r="L73" s="99">
        <v>432</v>
      </c>
      <c r="M73" s="99">
        <v>492</v>
      </c>
      <c r="N73" s="99">
        <v>484</v>
      </c>
      <c r="O73" s="99"/>
      <c r="P73" s="99"/>
      <c r="Q73" s="99">
        <v>247</v>
      </c>
      <c r="R73" s="99"/>
      <c r="S73" s="99">
        <v>415</v>
      </c>
      <c r="T73" s="19">
        <f t="shared" si="34"/>
        <v>2664</v>
      </c>
      <c r="U73" s="751">
        <v>2785</v>
      </c>
      <c r="V73" s="752">
        <f t="shared" si="33"/>
        <v>-121</v>
      </c>
    </row>
    <row r="74" spans="1:22">
      <c r="A74" s="90" t="s">
        <v>189</v>
      </c>
      <c r="B74" s="113" t="s">
        <v>251</v>
      </c>
      <c r="C74" s="113"/>
      <c r="D74" s="98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19">
        <f t="shared" si="34"/>
        <v>0</v>
      </c>
      <c r="U74" s="751">
        <v>0</v>
      </c>
      <c r="V74" s="752">
        <f t="shared" si="33"/>
        <v>0</v>
      </c>
    </row>
    <row r="75" spans="1:22">
      <c r="A75" s="90" t="s">
        <v>192</v>
      </c>
      <c r="B75" s="91" t="s">
        <v>260</v>
      </c>
      <c r="C75" s="91"/>
      <c r="D75" s="102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9">
        <f t="shared" si="34"/>
        <v>0</v>
      </c>
      <c r="U75" s="751">
        <v>0</v>
      </c>
      <c r="V75" s="752">
        <f t="shared" si="33"/>
        <v>0</v>
      </c>
    </row>
    <row r="76" spans="1:22">
      <c r="A76" s="90" t="s">
        <v>194</v>
      </c>
      <c r="B76" s="91" t="s">
        <v>261</v>
      </c>
      <c r="C76" s="91"/>
      <c r="D76" s="92"/>
      <c r="E76" s="22">
        <v>89</v>
      </c>
      <c r="F76" s="22">
        <v>52</v>
      </c>
      <c r="G76" s="22">
        <v>77</v>
      </c>
      <c r="H76" s="22">
        <v>45</v>
      </c>
      <c r="I76" s="22">
        <v>17</v>
      </c>
      <c r="J76" s="22"/>
      <c r="K76" s="22">
        <v>12</v>
      </c>
      <c r="L76" s="22">
        <v>18</v>
      </c>
      <c r="M76" s="22">
        <v>4</v>
      </c>
      <c r="N76" s="22">
        <v>1</v>
      </c>
      <c r="O76" s="22">
        <v>3</v>
      </c>
      <c r="P76" s="22">
        <v>3</v>
      </c>
      <c r="Q76" s="22"/>
      <c r="R76" s="22">
        <v>4</v>
      </c>
      <c r="S76" s="22">
        <v>9</v>
      </c>
      <c r="T76" s="19">
        <f t="shared" si="34"/>
        <v>334</v>
      </c>
      <c r="U76" s="751">
        <v>328</v>
      </c>
      <c r="V76" s="752">
        <f t="shared" si="33"/>
        <v>6</v>
      </c>
    </row>
    <row r="77" spans="1:22">
      <c r="A77" s="90" t="s">
        <v>197</v>
      </c>
      <c r="B77" s="113" t="s">
        <v>262</v>
      </c>
      <c r="C77" s="113"/>
      <c r="D77" s="102"/>
      <c r="E77" s="22">
        <v>32622</v>
      </c>
      <c r="F77" s="22">
        <v>9046</v>
      </c>
      <c r="G77" s="22">
        <v>13627</v>
      </c>
      <c r="H77" s="22">
        <v>17902</v>
      </c>
      <c r="I77" s="22">
        <v>25772.240000000002</v>
      </c>
      <c r="J77" s="22">
        <v>13105.71</v>
      </c>
      <c r="K77" s="22">
        <f>10602.95+3127.29</f>
        <v>13730.240000000002</v>
      </c>
      <c r="L77" s="22">
        <v>6627.96</v>
      </c>
      <c r="M77" s="22">
        <v>11478.41</v>
      </c>
      <c r="N77" s="22">
        <v>9116.92</v>
      </c>
      <c r="O77" s="22">
        <v>33999.89</v>
      </c>
      <c r="P77" s="22">
        <v>2300</v>
      </c>
      <c r="Q77" s="22">
        <v>4357</v>
      </c>
      <c r="R77" s="22">
        <v>13284.58</v>
      </c>
      <c r="S77" s="22">
        <f>2564.98+1394.54</f>
        <v>3959.52</v>
      </c>
      <c r="T77" s="19">
        <f t="shared" si="34"/>
        <v>210929.47000000003</v>
      </c>
      <c r="U77" s="751">
        <v>210929.47000000003</v>
      </c>
      <c r="V77" s="752">
        <f t="shared" si="33"/>
        <v>0</v>
      </c>
    </row>
    <row r="78" spans="1:22">
      <c r="A78" s="90" t="s">
        <v>199</v>
      </c>
      <c r="B78" s="113" t="s">
        <v>263</v>
      </c>
      <c r="C78" s="113"/>
      <c r="D78" s="102"/>
      <c r="E78" s="22">
        <v>29824</v>
      </c>
      <c r="F78" s="22">
        <v>8662</v>
      </c>
      <c r="G78" s="22">
        <v>8000</v>
      </c>
      <c r="H78" s="22">
        <v>8000</v>
      </c>
      <c r="I78" s="22">
        <v>15855</v>
      </c>
      <c r="J78" s="22">
        <v>4669</v>
      </c>
      <c r="K78" s="22">
        <f>4900+1492</f>
        <v>6392</v>
      </c>
      <c r="L78" s="22">
        <v>4663.8</v>
      </c>
      <c r="M78" s="22">
        <v>6585.2</v>
      </c>
      <c r="N78" s="22">
        <v>3060</v>
      </c>
      <c r="O78" s="22">
        <v>21060</v>
      </c>
      <c r="P78" s="22"/>
      <c r="Q78" s="22">
        <v>1505</v>
      </c>
      <c r="R78" s="22">
        <v>6784</v>
      </c>
      <c r="S78" s="22">
        <v>4013</v>
      </c>
      <c r="T78" s="19">
        <f t="shared" si="34"/>
        <v>129073</v>
      </c>
      <c r="U78" s="751">
        <v>129073</v>
      </c>
      <c r="V78" s="752">
        <f t="shared" si="33"/>
        <v>0</v>
      </c>
    </row>
    <row r="79" spans="1:22">
      <c r="E79" s="86">
        <v>116</v>
      </c>
      <c r="F79" s="86">
        <v>74</v>
      </c>
      <c r="G79" s="86">
        <v>79</v>
      </c>
      <c r="H79" s="86">
        <v>93.5</v>
      </c>
      <c r="I79" s="86">
        <v>197.5</v>
      </c>
      <c r="J79" s="86">
        <v>56</v>
      </c>
      <c r="K79" s="86">
        <v>56.5</v>
      </c>
      <c r="L79" s="86">
        <v>47</v>
      </c>
      <c r="M79" s="86">
        <v>43</v>
      </c>
      <c r="N79" s="86">
        <v>43.5</v>
      </c>
      <c r="O79" s="86">
        <v>136</v>
      </c>
      <c r="P79" s="86">
        <v>5</v>
      </c>
      <c r="Q79" s="86">
        <v>14.5</v>
      </c>
      <c r="R79" s="86">
        <v>75</v>
      </c>
      <c r="S79" s="86">
        <v>30.5</v>
      </c>
      <c r="T79" s="86">
        <v>1067</v>
      </c>
    </row>
    <row r="80" spans="1:22">
      <c r="E80" s="86">
        <f>E4/E79</f>
        <v>393676.20655172406</v>
      </c>
      <c r="F80" s="86">
        <f t="shared" ref="F80:T80" si="36">F4/F79</f>
        <v>380204.83783783781</v>
      </c>
      <c r="G80" s="86">
        <f t="shared" si="36"/>
        <v>377213.55202531652</v>
      </c>
      <c r="H80" s="86">
        <f t="shared" si="36"/>
        <v>364622.47871657758</v>
      </c>
      <c r="I80" s="86">
        <f t="shared" si="36"/>
        <v>355944.45903797465</v>
      </c>
      <c r="J80" s="86">
        <f t="shared" si="36"/>
        <v>338428.29071428569</v>
      </c>
      <c r="K80" s="86">
        <f t="shared" si="36"/>
        <v>331811.76407079649</v>
      </c>
      <c r="L80" s="86">
        <f t="shared" si="36"/>
        <v>332411.80595744681</v>
      </c>
      <c r="M80" s="86">
        <f t="shared" si="36"/>
        <v>323765.93558139534</v>
      </c>
      <c r="N80" s="86">
        <f t="shared" si="36"/>
        <v>326239.15333333326</v>
      </c>
      <c r="O80" s="86">
        <f t="shared" si="36"/>
        <v>365503.09308823524</v>
      </c>
      <c r="P80" s="86">
        <f t="shared" si="36"/>
        <v>355036.79200000002</v>
      </c>
      <c r="Q80" s="86">
        <f t="shared" si="36"/>
        <v>310799.95448275859</v>
      </c>
      <c r="R80" s="86">
        <f t="shared" si="36"/>
        <v>349877.88733333332</v>
      </c>
      <c r="S80" s="86">
        <f t="shared" si="36"/>
        <v>320025.63573770493</v>
      </c>
      <c r="T80" s="86">
        <f t="shared" si="36"/>
        <v>357470.07555763819</v>
      </c>
    </row>
    <row r="81" spans="5:21">
      <c r="E81" s="86">
        <f>E11/E79</f>
        <v>5291.3793103448279</v>
      </c>
      <c r="F81" s="86">
        <f t="shared" ref="F81:U81" si="37">F11/F79</f>
        <v>5321.6216216216217</v>
      </c>
      <c r="G81" s="86">
        <f t="shared" si="37"/>
        <v>5343.0379746835442</v>
      </c>
      <c r="H81" s="86">
        <f t="shared" si="37"/>
        <v>5138.8235294117649</v>
      </c>
      <c r="I81" s="86">
        <f t="shared" si="37"/>
        <v>5117.3670886075952</v>
      </c>
      <c r="J81" s="86">
        <f t="shared" si="37"/>
        <v>5232.8571428571431</v>
      </c>
      <c r="K81" s="86">
        <f t="shared" si="37"/>
        <v>5287.787610619469</v>
      </c>
      <c r="L81" s="86">
        <f t="shared" si="37"/>
        <v>5233.1914893617022</v>
      </c>
      <c r="M81" s="86">
        <f t="shared" si="37"/>
        <v>4942.3255813953492</v>
      </c>
      <c r="N81" s="86">
        <f t="shared" si="37"/>
        <v>5280</v>
      </c>
      <c r="O81" s="86">
        <f t="shared" si="37"/>
        <v>5276.7647058823532</v>
      </c>
      <c r="P81" s="86">
        <f t="shared" si="37"/>
        <v>4752</v>
      </c>
      <c r="Q81" s="86">
        <f t="shared" si="37"/>
        <v>5249.6551724137935</v>
      </c>
      <c r="R81" s="86">
        <f t="shared" si="37"/>
        <v>5262.4</v>
      </c>
      <c r="S81" s="86">
        <f t="shared" si="37"/>
        <v>5236.7213114754095</v>
      </c>
      <c r="T81" s="86">
        <f t="shared" si="37"/>
        <v>5222.8116213683224</v>
      </c>
      <c r="U81" s="86" t="e">
        <f t="shared" si="37"/>
        <v>#DIV/0!</v>
      </c>
    </row>
  </sheetData>
  <protectedRanges>
    <protectedRange password="E9C1" sqref="D29 C30 A4:D5 A6:A78 B6:D28 B31:D78 T4:U78 A2:U3" name="区域1_1"/>
    <protectedRange password="E9C1" sqref="B29:C29 B30" name="区域1_1_1"/>
    <protectedRange password="E9C1" sqref="D30" name="区域1_2"/>
  </protectedRanges>
  <mergeCells count="7">
    <mergeCell ref="U42:U63"/>
    <mergeCell ref="V42:V63"/>
    <mergeCell ref="A1:U1"/>
    <mergeCell ref="U4:U30"/>
    <mergeCell ref="V4:V30"/>
    <mergeCell ref="U31:U41"/>
    <mergeCell ref="V31:V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A19" sqref="A19:XFD19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779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49" t="s">
        <v>2401</v>
      </c>
      <c r="B1" s="1049"/>
      <c r="C1" s="1049"/>
      <c r="D1" s="1049"/>
      <c r="E1" s="1049"/>
      <c r="F1" s="1049"/>
      <c r="G1" s="1049"/>
      <c r="H1" s="1049"/>
      <c r="I1" s="1049"/>
      <c r="J1" s="1049"/>
    </row>
    <row r="2" spans="1:10" ht="24">
      <c r="A2" s="773" t="s">
        <v>1</v>
      </c>
      <c r="B2" s="773" t="s">
        <v>366</v>
      </c>
      <c r="C2" s="773" t="s">
        <v>367</v>
      </c>
      <c r="D2" s="773" t="s">
        <v>368</v>
      </c>
      <c r="E2" s="780" t="s">
        <v>2403</v>
      </c>
      <c r="F2" s="780" t="s">
        <v>2404</v>
      </c>
      <c r="G2" s="780" t="s">
        <v>2405</v>
      </c>
      <c r="H2" s="780" t="s">
        <v>2406</v>
      </c>
      <c r="I2" s="780" t="s">
        <v>2407</v>
      </c>
      <c r="J2" s="773" t="s">
        <v>371</v>
      </c>
    </row>
    <row r="3" spans="1:10" ht="13.5" customHeight="1">
      <c r="A3" s="773">
        <v>1</v>
      </c>
      <c r="B3" s="774" t="s">
        <v>470</v>
      </c>
      <c r="C3" s="774" t="s">
        <v>471</v>
      </c>
      <c r="D3" s="774" t="s">
        <v>374</v>
      </c>
      <c r="E3" s="774">
        <v>117</v>
      </c>
      <c r="F3" s="775">
        <v>115</v>
      </c>
      <c r="G3" s="776">
        <f t="shared" ref="G3:G18" si="0">(E3+F3)/2</f>
        <v>116</v>
      </c>
      <c r="H3" s="774">
        <v>191300</v>
      </c>
      <c r="I3" s="774">
        <v>9430</v>
      </c>
      <c r="J3" s="774">
        <f t="shared" ref="J3:J17" si="1">G3*(H3+I3)</f>
        <v>23284680</v>
      </c>
    </row>
    <row r="4" spans="1:10" ht="13.5" customHeight="1">
      <c r="A4" s="773">
        <v>2</v>
      </c>
      <c r="B4" s="774" t="s">
        <v>472</v>
      </c>
      <c r="C4" s="774" t="s">
        <v>471</v>
      </c>
      <c r="D4" s="774" t="s">
        <v>374</v>
      </c>
      <c r="E4" s="774">
        <v>76</v>
      </c>
      <c r="F4" s="775">
        <v>72</v>
      </c>
      <c r="G4" s="776">
        <f t="shared" si="0"/>
        <v>74</v>
      </c>
      <c r="H4" s="774">
        <v>191300</v>
      </c>
      <c r="I4" s="774">
        <v>9430</v>
      </c>
      <c r="J4" s="774">
        <f t="shared" si="1"/>
        <v>14854020</v>
      </c>
    </row>
    <row r="5" spans="1:10" ht="13.5" customHeight="1">
      <c r="A5" s="773">
        <v>3</v>
      </c>
      <c r="B5" s="774" t="s">
        <v>473</v>
      </c>
      <c r="C5" s="774" t="s">
        <v>471</v>
      </c>
      <c r="D5" s="774" t="s">
        <v>374</v>
      </c>
      <c r="E5" s="774">
        <v>69</v>
      </c>
      <c r="F5" s="775">
        <v>81</v>
      </c>
      <c r="G5" s="776">
        <f t="shared" si="0"/>
        <v>75</v>
      </c>
      <c r="H5" s="774">
        <v>191300</v>
      </c>
      <c r="I5" s="774">
        <v>9430</v>
      </c>
      <c r="J5" s="774">
        <f t="shared" si="1"/>
        <v>15054750</v>
      </c>
    </row>
    <row r="6" spans="1:10" ht="13.5" customHeight="1">
      <c r="A6" s="773">
        <v>4</v>
      </c>
      <c r="B6" s="774" t="s">
        <v>474</v>
      </c>
      <c r="C6" s="774" t="s">
        <v>471</v>
      </c>
      <c r="D6" s="774" t="s">
        <v>377</v>
      </c>
      <c r="E6" s="774">
        <v>139</v>
      </c>
      <c r="F6" s="775">
        <v>133</v>
      </c>
      <c r="G6" s="776">
        <f t="shared" si="0"/>
        <v>136</v>
      </c>
      <c r="H6" s="774">
        <v>191300</v>
      </c>
      <c r="I6" s="774">
        <v>9430</v>
      </c>
      <c r="J6" s="774">
        <f t="shared" si="1"/>
        <v>27299280</v>
      </c>
    </row>
    <row r="7" spans="1:10" ht="13.5" customHeight="1">
      <c r="A7" s="773">
        <v>5</v>
      </c>
      <c r="B7" s="774" t="s">
        <v>475</v>
      </c>
      <c r="C7" s="774" t="s">
        <v>471</v>
      </c>
      <c r="D7" s="774" t="s">
        <v>379</v>
      </c>
      <c r="E7" s="774">
        <v>80</v>
      </c>
      <c r="F7" s="775">
        <v>78</v>
      </c>
      <c r="G7" s="776">
        <f t="shared" si="0"/>
        <v>79</v>
      </c>
      <c r="H7" s="774">
        <v>191300</v>
      </c>
      <c r="I7" s="774">
        <v>9430</v>
      </c>
      <c r="J7" s="774">
        <f t="shared" si="1"/>
        <v>15857670</v>
      </c>
    </row>
    <row r="8" spans="1:10" ht="13.5" customHeight="1">
      <c r="A8" s="773">
        <v>6</v>
      </c>
      <c r="B8" s="774" t="s">
        <v>476</v>
      </c>
      <c r="C8" s="774" t="s">
        <v>471</v>
      </c>
      <c r="D8" s="774" t="s">
        <v>379</v>
      </c>
      <c r="E8" s="774">
        <v>199</v>
      </c>
      <c r="F8" s="775">
        <v>196</v>
      </c>
      <c r="G8" s="776">
        <f t="shared" si="0"/>
        <v>197.5</v>
      </c>
      <c r="H8" s="774">
        <v>191300</v>
      </c>
      <c r="I8" s="774">
        <v>9430</v>
      </c>
      <c r="J8" s="774">
        <f t="shared" si="1"/>
        <v>39644175</v>
      </c>
    </row>
    <row r="9" spans="1:10" ht="13.5" customHeight="1">
      <c r="A9" s="773">
        <v>7</v>
      </c>
      <c r="B9" s="774" t="s">
        <v>477</v>
      </c>
      <c r="C9" s="774" t="s">
        <v>471</v>
      </c>
      <c r="D9" s="774" t="s">
        <v>379</v>
      </c>
      <c r="E9" s="774">
        <v>94</v>
      </c>
      <c r="F9" s="775">
        <v>93</v>
      </c>
      <c r="G9" s="776">
        <f t="shared" si="0"/>
        <v>93.5</v>
      </c>
      <c r="H9" s="774">
        <v>191300</v>
      </c>
      <c r="I9" s="774">
        <v>9430</v>
      </c>
      <c r="J9" s="774">
        <f t="shared" si="1"/>
        <v>18768255</v>
      </c>
    </row>
    <row r="10" spans="1:10" ht="13.5" customHeight="1">
      <c r="A10" s="773">
        <v>8</v>
      </c>
      <c r="B10" s="774" t="s">
        <v>478</v>
      </c>
      <c r="C10" s="774" t="s">
        <v>471</v>
      </c>
      <c r="D10" s="774" t="s">
        <v>379</v>
      </c>
      <c r="E10" s="774">
        <v>53</v>
      </c>
      <c r="F10" s="775">
        <v>59</v>
      </c>
      <c r="G10" s="776">
        <f t="shared" si="0"/>
        <v>56</v>
      </c>
      <c r="H10" s="774">
        <v>191300</v>
      </c>
      <c r="I10" s="774">
        <v>9430</v>
      </c>
      <c r="J10" s="774">
        <f t="shared" si="1"/>
        <v>11240880</v>
      </c>
    </row>
    <row r="11" spans="1:10" ht="13.5" customHeight="1">
      <c r="A11" s="773">
        <v>9</v>
      </c>
      <c r="B11" s="774" t="s">
        <v>479</v>
      </c>
      <c r="C11" s="774" t="s">
        <v>471</v>
      </c>
      <c r="D11" s="774" t="s">
        <v>382</v>
      </c>
      <c r="E11" s="774">
        <v>48</v>
      </c>
      <c r="F11" s="775">
        <v>46</v>
      </c>
      <c r="G11" s="776">
        <f t="shared" si="0"/>
        <v>47</v>
      </c>
      <c r="H11" s="774">
        <v>174600</v>
      </c>
      <c r="I11" s="774">
        <v>9430</v>
      </c>
      <c r="J11" s="774">
        <f t="shared" si="1"/>
        <v>8649410</v>
      </c>
    </row>
    <row r="12" spans="1:10" ht="13.5" customHeight="1">
      <c r="A12" s="773">
        <v>10</v>
      </c>
      <c r="B12" s="774" t="s">
        <v>480</v>
      </c>
      <c r="C12" s="774" t="s">
        <v>471</v>
      </c>
      <c r="D12" s="774" t="s">
        <v>382</v>
      </c>
      <c r="E12" s="774">
        <v>57</v>
      </c>
      <c r="F12" s="775">
        <v>56</v>
      </c>
      <c r="G12" s="776">
        <f t="shared" si="0"/>
        <v>56.5</v>
      </c>
      <c r="H12" s="774">
        <v>174600</v>
      </c>
      <c r="I12" s="774">
        <v>9430</v>
      </c>
      <c r="J12" s="774">
        <f t="shared" si="1"/>
        <v>10397695</v>
      </c>
    </row>
    <row r="13" spans="1:10" ht="13.5" customHeight="1">
      <c r="A13" s="773">
        <v>11</v>
      </c>
      <c r="B13" s="774" t="s">
        <v>481</v>
      </c>
      <c r="C13" s="774" t="s">
        <v>471</v>
      </c>
      <c r="D13" s="774" t="s">
        <v>382</v>
      </c>
      <c r="E13" s="774">
        <v>43</v>
      </c>
      <c r="F13" s="775">
        <v>43</v>
      </c>
      <c r="G13" s="776">
        <f t="shared" si="0"/>
        <v>43</v>
      </c>
      <c r="H13" s="774">
        <v>174600</v>
      </c>
      <c r="I13" s="774">
        <v>9430</v>
      </c>
      <c r="J13" s="774">
        <f t="shared" si="1"/>
        <v>7913290</v>
      </c>
    </row>
    <row r="14" spans="1:10" ht="13.5" customHeight="1">
      <c r="A14" s="773">
        <v>12</v>
      </c>
      <c r="B14" s="774" t="s">
        <v>482</v>
      </c>
      <c r="C14" s="774" t="s">
        <v>471</v>
      </c>
      <c r="D14" s="774" t="s">
        <v>382</v>
      </c>
      <c r="E14" s="774">
        <v>44</v>
      </c>
      <c r="F14" s="775">
        <v>43</v>
      </c>
      <c r="G14" s="776">
        <f t="shared" si="0"/>
        <v>43.5</v>
      </c>
      <c r="H14" s="774">
        <v>174600</v>
      </c>
      <c r="I14" s="774">
        <v>9430</v>
      </c>
      <c r="J14" s="774">
        <f t="shared" si="1"/>
        <v>8005305</v>
      </c>
    </row>
    <row r="15" spans="1:10" ht="13.5" customHeight="1">
      <c r="A15" s="773">
        <v>13</v>
      </c>
      <c r="B15" s="774" t="s">
        <v>483</v>
      </c>
      <c r="C15" s="774" t="s">
        <v>471</v>
      </c>
      <c r="D15" s="774" t="s">
        <v>382</v>
      </c>
      <c r="E15" s="774">
        <v>29</v>
      </c>
      <c r="F15" s="775">
        <v>32</v>
      </c>
      <c r="G15" s="776">
        <f t="shared" si="0"/>
        <v>30.5</v>
      </c>
      <c r="H15" s="774">
        <v>174600</v>
      </c>
      <c r="I15" s="774">
        <v>9430</v>
      </c>
      <c r="J15" s="774">
        <f t="shared" si="1"/>
        <v>5612915</v>
      </c>
    </row>
    <row r="16" spans="1:10" ht="13.5" customHeight="1">
      <c r="A16" s="773">
        <v>14</v>
      </c>
      <c r="B16" s="774" t="s">
        <v>484</v>
      </c>
      <c r="C16" s="774" t="s">
        <v>471</v>
      </c>
      <c r="D16" s="774" t="s">
        <v>382</v>
      </c>
      <c r="E16" s="774">
        <v>13</v>
      </c>
      <c r="F16" s="775">
        <v>16</v>
      </c>
      <c r="G16" s="776">
        <f t="shared" si="0"/>
        <v>14.5</v>
      </c>
      <c r="H16" s="774">
        <v>174600</v>
      </c>
      <c r="I16" s="774">
        <v>9430</v>
      </c>
      <c r="J16" s="774">
        <f t="shared" si="1"/>
        <v>2668435</v>
      </c>
    </row>
    <row r="17" spans="1:10" ht="13.5" customHeight="1">
      <c r="A17" s="773">
        <v>15</v>
      </c>
      <c r="B17" s="774" t="s">
        <v>485</v>
      </c>
      <c r="C17" s="774" t="s">
        <v>471</v>
      </c>
      <c r="D17" s="774" t="s">
        <v>275</v>
      </c>
      <c r="E17" s="774">
        <v>5</v>
      </c>
      <c r="F17" s="775">
        <v>5</v>
      </c>
      <c r="G17" s="776">
        <f t="shared" si="0"/>
        <v>5</v>
      </c>
      <c r="H17" s="774">
        <v>185700</v>
      </c>
      <c r="I17" s="774">
        <v>9430</v>
      </c>
      <c r="J17" s="774">
        <f t="shared" si="1"/>
        <v>975650</v>
      </c>
    </row>
    <row r="18" spans="1:10" ht="13.5" customHeight="1">
      <c r="A18" s="773"/>
      <c r="B18" s="774"/>
      <c r="C18" s="778" t="s">
        <v>486</v>
      </c>
      <c r="D18" s="774"/>
      <c r="E18" s="777">
        <f>SUM(E3:E17)</f>
        <v>1066</v>
      </c>
      <c r="F18" s="777">
        <f>SUM(F3:F17)</f>
        <v>1068</v>
      </c>
      <c r="G18" s="776">
        <f t="shared" si="0"/>
        <v>1067</v>
      </c>
      <c r="H18" s="777"/>
      <c r="I18" s="777"/>
      <c r="J18" s="774">
        <f>SUM(J3:J17)</f>
        <v>210226410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A5" sqref="A5:XFD15"/>
    </sheetView>
  </sheetViews>
  <sheetFormatPr defaultColWidth="9" defaultRowHeight="45" customHeight="1"/>
  <cols>
    <col min="1" max="1" width="22.75" style="765" customWidth="1"/>
    <col min="2" max="2" width="32.125" style="765" customWidth="1"/>
    <col min="3" max="3" width="14.375" style="765" customWidth="1"/>
    <col min="4" max="4" width="13.875" style="765" customWidth="1"/>
    <col min="5" max="5" width="14.125" style="765" customWidth="1"/>
    <col min="6" max="6" width="13.5" style="765" hidden="1" customWidth="1"/>
    <col min="7" max="7" width="12.875" style="765" customWidth="1"/>
    <col min="8" max="9" width="16.5" style="765" customWidth="1"/>
    <col min="10" max="10" width="17.5" style="772" customWidth="1"/>
    <col min="11" max="11" width="22.5" style="765" customWidth="1"/>
    <col min="12" max="16384" width="9" style="765"/>
  </cols>
  <sheetData>
    <row r="1" spans="1:11" ht="39.75" customHeight="1">
      <c r="A1" s="1050" t="s">
        <v>2400</v>
      </c>
      <c r="B1" s="1050"/>
      <c r="C1" s="1050"/>
      <c r="D1" s="1050"/>
      <c r="E1" s="1050"/>
      <c r="F1" s="1050"/>
      <c r="G1" s="1050"/>
      <c r="H1" s="1050"/>
      <c r="I1" s="1050"/>
      <c r="J1" s="1050"/>
      <c r="K1" s="1051"/>
    </row>
    <row r="2" spans="1:11" s="768" customFormat="1" ht="41.25" customHeight="1">
      <c r="A2" s="766" t="s">
        <v>595</v>
      </c>
      <c r="B2" s="766" t="s">
        <v>2</v>
      </c>
      <c r="C2" s="767" t="s">
        <v>2392</v>
      </c>
      <c r="D2" s="767" t="s">
        <v>2393</v>
      </c>
      <c r="E2" s="767" t="s">
        <v>2394</v>
      </c>
      <c r="F2" s="767" t="s">
        <v>2395</v>
      </c>
      <c r="G2" s="767" t="s">
        <v>2396</v>
      </c>
      <c r="H2" s="767" t="s">
        <v>2397</v>
      </c>
      <c r="I2" s="767" t="s">
        <v>2398</v>
      </c>
      <c r="J2" s="767" t="s">
        <v>2399</v>
      </c>
      <c r="K2" s="766" t="s">
        <v>25</v>
      </c>
    </row>
    <row r="3" spans="1:11" s="768" customFormat="1" ht="30" customHeight="1">
      <c r="A3" s="770" t="s">
        <v>474</v>
      </c>
      <c r="B3" s="770" t="s">
        <v>2389</v>
      </c>
      <c r="C3" s="771">
        <v>3097417.93</v>
      </c>
      <c r="D3" s="771">
        <v>2815834.48</v>
      </c>
      <c r="E3" s="771">
        <v>2561874.2000000002</v>
      </c>
      <c r="F3" s="769" t="s">
        <v>2388</v>
      </c>
      <c r="G3" s="771">
        <v>416650</v>
      </c>
      <c r="H3" s="771">
        <f>E3+G3</f>
        <v>2978524.2</v>
      </c>
      <c r="I3" s="771">
        <v>2477934</v>
      </c>
      <c r="J3" s="771">
        <f t="shared" ref="J3" si="0">H3-I3</f>
        <v>500590.20000000019</v>
      </c>
      <c r="K3" s="766" t="s">
        <v>2408</v>
      </c>
    </row>
    <row r="4" spans="1:11" s="768" customFormat="1" ht="30" customHeight="1">
      <c r="A4" s="770"/>
      <c r="B4" s="770" t="s">
        <v>2387</v>
      </c>
      <c r="C4" s="771"/>
      <c r="D4" s="771"/>
      <c r="E4" s="771"/>
      <c r="F4" s="769"/>
      <c r="G4" s="771"/>
      <c r="H4" s="771"/>
      <c r="I4" s="771"/>
      <c r="J4" s="771">
        <f>SUM(J3)</f>
        <v>500590.20000000019</v>
      </c>
      <c r="K4" s="766"/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AY19"/>
  <sheetViews>
    <sheetView topLeftCell="B1" workbookViewId="0">
      <pane xSplit="2" ySplit="3" topLeftCell="AH4" activePane="bottomRight" state="frozen"/>
      <selection activeCell="B1" sqref="B1"/>
      <selection pane="topRight" activeCell="D1" sqref="D1"/>
      <selection pane="bottomLeft" activeCell="B4" sqref="B4"/>
      <selection pane="bottomRight" activeCell="B19" sqref="A19:XFD19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052" t="s">
        <v>2091</v>
      </c>
      <c r="B1" s="835"/>
      <c r="C1" s="835"/>
      <c r="D1" s="835"/>
      <c r="E1" s="835"/>
      <c r="F1" s="835"/>
      <c r="G1" s="835"/>
      <c r="H1" s="835"/>
      <c r="I1" s="835"/>
      <c r="J1" s="835"/>
      <c r="K1" s="835"/>
      <c r="L1" s="835"/>
      <c r="M1" s="835"/>
      <c r="N1" s="835"/>
      <c r="O1" s="835"/>
      <c r="P1" s="835"/>
      <c r="Q1" s="835"/>
      <c r="R1" s="835"/>
      <c r="S1" s="835"/>
      <c r="T1" s="835"/>
      <c r="U1" s="835"/>
      <c r="V1" s="835"/>
      <c r="W1" s="835"/>
      <c r="X1" s="835"/>
      <c r="Y1" s="835"/>
      <c r="Z1" s="835"/>
      <c r="AA1" s="835"/>
      <c r="AB1" s="835"/>
      <c r="AC1" s="835"/>
      <c r="AD1" s="835"/>
      <c r="AE1" s="835"/>
      <c r="AF1" s="835"/>
      <c r="AG1" s="835"/>
      <c r="AH1" s="835"/>
      <c r="AI1" s="835"/>
      <c r="AJ1" s="835"/>
      <c r="AK1" s="835"/>
      <c r="AL1" s="835"/>
      <c r="AM1" s="835"/>
      <c r="AN1" s="835"/>
      <c r="AO1" s="835"/>
      <c r="AP1" s="835"/>
      <c r="AQ1" s="835"/>
      <c r="AR1" s="835"/>
      <c r="AS1" s="835"/>
      <c r="AT1" s="835"/>
      <c r="AU1" s="795"/>
      <c r="AV1" s="795"/>
      <c r="AW1" s="795"/>
    </row>
    <row r="2" spans="1:51" ht="11.25" customHeight="1">
      <c r="A2" s="1039" t="s">
        <v>594</v>
      </c>
      <c r="B2" s="1039" t="s">
        <v>595</v>
      </c>
      <c r="C2" s="1039" t="s">
        <v>596</v>
      </c>
      <c r="D2" s="1039" t="s">
        <v>2092</v>
      </c>
      <c r="E2" s="1039" t="s">
        <v>597</v>
      </c>
      <c r="F2" s="1039"/>
      <c r="G2" s="1039"/>
      <c r="H2" s="1039"/>
      <c r="I2" s="1039"/>
      <c r="J2" s="1039" t="s">
        <v>2093</v>
      </c>
      <c r="K2" s="1039"/>
      <c r="L2" s="1039"/>
      <c r="M2" s="1039"/>
      <c r="N2" s="1039"/>
      <c r="O2" s="823" t="s">
        <v>2094</v>
      </c>
      <c r="P2" s="823"/>
      <c r="Q2" s="823"/>
      <c r="R2" s="823"/>
      <c r="S2" s="823"/>
      <c r="T2" s="823" t="s">
        <v>598</v>
      </c>
      <c r="U2" s="823"/>
      <c r="V2" s="823"/>
      <c r="W2" s="823"/>
      <c r="X2" s="823"/>
      <c r="Y2" s="823" t="s">
        <v>599</v>
      </c>
      <c r="Z2" s="823"/>
      <c r="AA2" s="823"/>
      <c r="AB2" s="823"/>
      <c r="AC2" s="823"/>
      <c r="AD2" s="1039" t="s">
        <v>2375</v>
      </c>
      <c r="AE2" s="1039"/>
      <c r="AF2" s="1039"/>
      <c r="AG2" s="1039"/>
      <c r="AH2" s="1039"/>
      <c r="AI2" s="1039"/>
      <c r="AJ2" s="1039"/>
      <c r="AK2" s="1039"/>
      <c r="AL2" s="1039"/>
      <c r="AM2" s="1039"/>
      <c r="AN2" s="1039"/>
      <c r="AO2" s="1039"/>
      <c r="AP2" s="1039"/>
      <c r="AQ2" s="1043" t="s">
        <v>2376</v>
      </c>
      <c r="AR2" s="1043" t="s">
        <v>2402</v>
      </c>
      <c r="AS2" s="1043" t="s">
        <v>2379</v>
      </c>
      <c r="AT2" s="1043" t="s">
        <v>2380</v>
      </c>
      <c r="AU2" s="1053" t="s">
        <v>2381</v>
      </c>
      <c r="AV2" s="1044" t="s">
        <v>2382</v>
      </c>
      <c r="AW2" s="1044" t="s">
        <v>2386</v>
      </c>
    </row>
    <row r="3" spans="1:51" ht="33.75">
      <c r="A3" s="1039"/>
      <c r="B3" s="1039"/>
      <c r="C3" s="1039"/>
      <c r="D3" s="1039"/>
      <c r="E3" s="671" t="s">
        <v>600</v>
      </c>
      <c r="F3" s="671" t="s">
        <v>601</v>
      </c>
      <c r="G3" s="671" t="s">
        <v>602</v>
      </c>
      <c r="H3" s="671" t="s">
        <v>603</v>
      </c>
      <c r="I3" s="754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54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59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59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54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2373</v>
      </c>
      <c r="AM3" s="671" t="s">
        <v>2378</v>
      </c>
      <c r="AN3" s="671" t="s">
        <v>2377</v>
      </c>
      <c r="AO3" s="671" t="s">
        <v>2374</v>
      </c>
      <c r="AP3" s="754" t="s">
        <v>531</v>
      </c>
      <c r="AQ3" s="1041"/>
      <c r="AR3" s="1041"/>
      <c r="AS3" s="1041"/>
      <c r="AT3" s="1041"/>
      <c r="AU3" s="1054"/>
      <c r="AV3" s="1045"/>
      <c r="AW3" s="1045"/>
    </row>
    <row r="4" spans="1:51" ht="15" customHeight="1">
      <c r="A4" s="141" t="s">
        <v>542</v>
      </c>
      <c r="B4" s="240" t="s">
        <v>482</v>
      </c>
      <c r="C4" s="240" t="s">
        <v>2099</v>
      </c>
      <c r="D4" s="672">
        <v>2</v>
      </c>
      <c r="E4" s="165">
        <v>4.33</v>
      </c>
      <c r="F4" s="165">
        <v>3</v>
      </c>
      <c r="G4" s="165">
        <v>26.33</v>
      </c>
      <c r="H4" s="165">
        <v>3</v>
      </c>
      <c r="I4" s="144">
        <f t="shared" ref="I4:I17" si="0">SUM(E4:H4)</f>
        <v>36.659999999999997</v>
      </c>
      <c r="J4" s="672">
        <v>0</v>
      </c>
      <c r="K4" s="672">
        <v>0</v>
      </c>
      <c r="L4" s="672">
        <v>0</v>
      </c>
      <c r="M4" s="672">
        <v>0</v>
      </c>
      <c r="N4" s="144">
        <f t="shared" ref="N4:N17" si="1">SUM(J4:M4)</f>
        <v>0</v>
      </c>
      <c r="O4" s="144">
        <f>E4+J4</f>
        <v>4.33</v>
      </c>
      <c r="P4" s="144">
        <f t="shared" ref="P4:R17" si="2">F4+K4</f>
        <v>3</v>
      </c>
      <c r="Q4" s="144">
        <f t="shared" si="2"/>
        <v>26.33</v>
      </c>
      <c r="R4" s="144">
        <f t="shared" si="2"/>
        <v>3</v>
      </c>
      <c r="S4" s="144">
        <f t="shared" ref="S4:S17" si="3">SUM(O4:R4)</f>
        <v>36.659999999999997</v>
      </c>
      <c r="T4" s="144">
        <v>4.83</v>
      </c>
      <c r="U4" s="144">
        <v>2.5</v>
      </c>
      <c r="V4" s="144">
        <v>25.92</v>
      </c>
      <c r="W4" s="144">
        <v>2.5</v>
      </c>
      <c r="X4" s="144">
        <f t="shared" ref="X4:X17" si="4">SUM(T4:W4)</f>
        <v>35.75</v>
      </c>
      <c r="Y4" s="672">
        <v>4.83</v>
      </c>
      <c r="Z4" s="672">
        <v>2.5</v>
      </c>
      <c r="AA4" s="672">
        <v>25.92</v>
      </c>
      <c r="AB4" s="672">
        <v>2.5</v>
      </c>
      <c r="AC4" s="144">
        <f t="shared" ref="AC4:AC17" si="5">SUM(Y4:AB4)</f>
        <v>35.75</v>
      </c>
      <c r="AD4" s="144">
        <f t="shared" ref="AD4:AD17" si="6">(Y4*6017+Z4*5250+AA4*5194+AB4*4250)*12+AB4*50*5</f>
        <v>2249912.08</v>
      </c>
      <c r="AE4" s="144">
        <f t="shared" ref="AE4:AE17" si="7">AC4*4320</f>
        <v>154440</v>
      </c>
      <c r="AF4" s="144">
        <f t="shared" ref="AF4:AF17" si="8">AC4*6000</f>
        <v>214500</v>
      </c>
      <c r="AG4" s="144">
        <f t="shared" ref="AG4:AG17" si="9">AC4*2400</f>
        <v>85800</v>
      </c>
      <c r="AH4" s="144">
        <f t="shared" ref="AH4:AH17" si="10">AC4*8800</f>
        <v>314600</v>
      </c>
      <c r="AI4" s="144">
        <f t="shared" ref="AI4:AI17" si="11">AC4*800</f>
        <v>28600</v>
      </c>
      <c r="AJ4" s="144">
        <f t="shared" ref="AJ4:AJ17" si="12">D4*50*200</f>
        <v>20000</v>
      </c>
      <c r="AK4" s="144">
        <f t="shared" ref="AK4:AK17" si="13">AC4*960</f>
        <v>34320</v>
      </c>
      <c r="AL4" s="144">
        <f t="shared" ref="AL4:AL17" si="14">ROUND((AD4+AH4+AI4+AJ4+AM4)*0.35256,2)</f>
        <v>921278.79</v>
      </c>
      <c r="AM4" s="144"/>
      <c r="AN4" s="144"/>
      <c r="AO4" s="144"/>
      <c r="AP4" s="144">
        <f t="shared" ref="AP4:AP17" si="15">SUM(AD4:AO4)</f>
        <v>4023450.87</v>
      </c>
      <c r="AQ4" s="144">
        <v>3893061.3499999996</v>
      </c>
      <c r="AR4" s="144">
        <f t="shared" ref="AR4:AR17" si="16">(Y4*450+Z4*300+AA4*100+AB4*50)*6+AC4*300-AB4*50*5</f>
        <v>43943</v>
      </c>
      <c r="AS4" s="144">
        <f t="shared" ref="AS4:AS17" si="17">AQ4+AR4</f>
        <v>3937004.3499999996</v>
      </c>
      <c r="AT4" s="675">
        <v>2529742</v>
      </c>
      <c r="AU4" s="757">
        <v>843247</v>
      </c>
      <c r="AV4" s="610">
        <f t="shared" ref="AV4:AV17" si="18">AS4-AT4-AU4</f>
        <v>564015.34999999963</v>
      </c>
      <c r="AW4" s="610"/>
      <c r="AX4" s="145">
        <f>AP4-AQ4</f>
        <v>130389.52000000048</v>
      </c>
    </row>
    <row r="5" spans="1:51" ht="15" customHeight="1">
      <c r="A5" s="141" t="s">
        <v>542</v>
      </c>
      <c r="B5" s="240" t="s">
        <v>2155</v>
      </c>
      <c r="C5" s="240" t="s">
        <v>2099</v>
      </c>
      <c r="D5" s="672">
        <v>2</v>
      </c>
      <c r="E5" s="165"/>
      <c r="F5" s="165">
        <v>3</v>
      </c>
      <c r="G5" s="165">
        <v>27</v>
      </c>
      <c r="H5" s="165">
        <v>3</v>
      </c>
      <c r="I5" s="144">
        <f t="shared" si="0"/>
        <v>33</v>
      </c>
      <c r="J5" s="672">
        <v>10.33</v>
      </c>
      <c r="K5" s="672">
        <v>0</v>
      </c>
      <c r="L5" s="672">
        <v>0</v>
      </c>
      <c r="M5" s="672">
        <v>0</v>
      </c>
      <c r="N5" s="144">
        <f t="shared" si="1"/>
        <v>10.33</v>
      </c>
      <c r="O5" s="144">
        <f t="shared" ref="O5:O17" si="19">E5+J5</f>
        <v>10.33</v>
      </c>
      <c r="P5" s="144">
        <f t="shared" si="2"/>
        <v>3</v>
      </c>
      <c r="Q5" s="144">
        <f t="shared" si="2"/>
        <v>27</v>
      </c>
      <c r="R5" s="144">
        <f t="shared" si="2"/>
        <v>3</v>
      </c>
      <c r="S5" s="144">
        <f t="shared" si="3"/>
        <v>43.33</v>
      </c>
      <c r="T5" s="672">
        <v>10.42</v>
      </c>
      <c r="U5" s="672">
        <v>3</v>
      </c>
      <c r="V5" s="672">
        <v>26.67</v>
      </c>
      <c r="W5" s="672">
        <v>3</v>
      </c>
      <c r="X5" s="144">
        <f t="shared" si="4"/>
        <v>43.09</v>
      </c>
      <c r="Y5" s="144">
        <v>10.42</v>
      </c>
      <c r="Z5" s="144">
        <v>3</v>
      </c>
      <c r="AA5" s="144">
        <v>26.67</v>
      </c>
      <c r="AB5" s="144">
        <v>3</v>
      </c>
      <c r="AC5" s="144">
        <f t="shared" si="5"/>
        <v>43.09</v>
      </c>
      <c r="AD5" s="144">
        <f t="shared" si="6"/>
        <v>2757403.44</v>
      </c>
      <c r="AE5" s="144">
        <f t="shared" si="7"/>
        <v>186148.80000000002</v>
      </c>
      <c r="AF5" s="144">
        <f t="shared" si="8"/>
        <v>258540.00000000003</v>
      </c>
      <c r="AG5" s="144">
        <f t="shared" si="9"/>
        <v>103416.00000000001</v>
      </c>
      <c r="AH5" s="144">
        <f t="shared" si="10"/>
        <v>379192.00000000006</v>
      </c>
      <c r="AI5" s="144">
        <f t="shared" si="11"/>
        <v>34472</v>
      </c>
      <c r="AJ5" s="144">
        <f t="shared" si="12"/>
        <v>20000</v>
      </c>
      <c r="AK5" s="144">
        <f t="shared" si="13"/>
        <v>41366.400000000001</v>
      </c>
      <c r="AL5" s="144">
        <f t="shared" si="14"/>
        <v>1125042.74</v>
      </c>
      <c r="AM5" s="144"/>
      <c r="AN5" s="144"/>
      <c r="AO5" s="144">
        <v>77250</v>
      </c>
      <c r="AP5" s="144">
        <f t="shared" si="15"/>
        <v>4982831.38</v>
      </c>
      <c r="AQ5" s="144">
        <v>4549889.2300000004</v>
      </c>
      <c r="AR5" s="144">
        <f t="shared" si="16"/>
        <v>62613</v>
      </c>
      <c r="AS5" s="144">
        <f t="shared" si="17"/>
        <v>4612502.2300000004</v>
      </c>
      <c r="AT5" s="675">
        <v>3042708</v>
      </c>
      <c r="AU5" s="757">
        <v>1014236</v>
      </c>
      <c r="AV5" s="610">
        <f t="shared" si="18"/>
        <v>555558.23000000045</v>
      </c>
      <c r="AW5" s="610"/>
      <c r="AX5" s="145">
        <f t="shared" ref="AX5:AX17" si="20">AP5-AQ5</f>
        <v>432942.14999999944</v>
      </c>
    </row>
    <row r="6" spans="1:51" ht="15" customHeight="1">
      <c r="A6" s="141" t="s">
        <v>542</v>
      </c>
      <c r="B6" s="240" t="s">
        <v>2156</v>
      </c>
      <c r="C6" s="240" t="s">
        <v>2099</v>
      </c>
      <c r="D6" s="672">
        <v>2</v>
      </c>
      <c r="E6" s="165">
        <v>3.33</v>
      </c>
      <c r="F6" s="165">
        <v>3</v>
      </c>
      <c r="G6" s="165">
        <v>35.33</v>
      </c>
      <c r="H6" s="165">
        <v>4</v>
      </c>
      <c r="I6" s="144">
        <f t="shared" si="0"/>
        <v>45.66</v>
      </c>
      <c r="J6" s="672">
        <v>0</v>
      </c>
      <c r="K6" s="672">
        <v>3</v>
      </c>
      <c r="L6" s="672">
        <v>0</v>
      </c>
      <c r="M6" s="672">
        <v>0</v>
      </c>
      <c r="N6" s="144">
        <f t="shared" si="1"/>
        <v>3</v>
      </c>
      <c r="O6" s="144">
        <f t="shared" si="19"/>
        <v>3.33</v>
      </c>
      <c r="P6" s="144">
        <f t="shared" si="2"/>
        <v>6</v>
      </c>
      <c r="Q6" s="144">
        <f t="shared" si="2"/>
        <v>35.33</v>
      </c>
      <c r="R6" s="144">
        <f t="shared" si="2"/>
        <v>4</v>
      </c>
      <c r="S6" s="144">
        <f t="shared" si="3"/>
        <v>48.66</v>
      </c>
      <c r="T6" s="672">
        <v>2.33</v>
      </c>
      <c r="U6" s="672">
        <v>6.5</v>
      </c>
      <c r="V6" s="672">
        <v>34.25</v>
      </c>
      <c r="W6" s="672">
        <v>5</v>
      </c>
      <c r="X6" s="144">
        <f t="shared" si="4"/>
        <v>48.08</v>
      </c>
      <c r="Y6" s="144">
        <v>2.33</v>
      </c>
      <c r="Z6" s="144">
        <v>6.5</v>
      </c>
      <c r="AA6" s="144">
        <v>34.25</v>
      </c>
      <c r="AB6" s="144">
        <v>5</v>
      </c>
      <c r="AC6" s="144">
        <f t="shared" si="5"/>
        <v>48.08</v>
      </c>
      <c r="AD6" s="144">
        <f t="shared" si="6"/>
        <v>2968719.32</v>
      </c>
      <c r="AE6" s="144">
        <f t="shared" si="7"/>
        <v>207705.60000000001</v>
      </c>
      <c r="AF6" s="144">
        <f t="shared" si="8"/>
        <v>288480</v>
      </c>
      <c r="AG6" s="144">
        <f t="shared" si="9"/>
        <v>115392</v>
      </c>
      <c r="AH6" s="144">
        <f t="shared" si="10"/>
        <v>423104</v>
      </c>
      <c r="AI6" s="144">
        <f t="shared" si="11"/>
        <v>38464</v>
      </c>
      <c r="AJ6" s="144">
        <f t="shared" si="12"/>
        <v>20000</v>
      </c>
      <c r="AK6" s="144">
        <f t="shared" si="13"/>
        <v>46156.799999999996</v>
      </c>
      <c r="AL6" s="144">
        <f t="shared" si="14"/>
        <v>1216433.3</v>
      </c>
      <c r="AM6" s="144"/>
      <c r="AN6" s="144"/>
      <c r="AO6" s="144"/>
      <c r="AP6" s="144">
        <f t="shared" si="15"/>
        <v>5324455.0199999996</v>
      </c>
      <c r="AQ6" s="144">
        <v>5364090.3</v>
      </c>
      <c r="AR6" s="144">
        <f t="shared" si="16"/>
        <v>53215</v>
      </c>
      <c r="AS6" s="144">
        <f t="shared" si="17"/>
        <v>5417305.2999999998</v>
      </c>
      <c r="AT6" s="675">
        <v>3826437</v>
      </c>
      <c r="AU6" s="757">
        <v>1275479</v>
      </c>
      <c r="AV6" s="610">
        <f t="shared" si="18"/>
        <v>315389.29999999981</v>
      </c>
      <c r="AW6" s="610"/>
      <c r="AX6" s="145">
        <f t="shared" si="20"/>
        <v>-39635.280000000261</v>
      </c>
      <c r="AY6" s="137" t="s">
        <v>2383</v>
      </c>
    </row>
    <row r="7" spans="1:51" ht="15" customHeight="1">
      <c r="A7" s="141" t="s">
        <v>542</v>
      </c>
      <c r="B7" s="240" t="s">
        <v>2157</v>
      </c>
      <c r="C7" s="240" t="s">
        <v>2099</v>
      </c>
      <c r="D7" s="672">
        <v>3</v>
      </c>
      <c r="E7" s="165">
        <v>0</v>
      </c>
      <c r="F7" s="165">
        <v>2</v>
      </c>
      <c r="G7" s="165">
        <v>25.67</v>
      </c>
      <c r="H7" s="165">
        <v>2.67</v>
      </c>
      <c r="I7" s="144">
        <f t="shared" si="0"/>
        <v>30.340000000000003</v>
      </c>
      <c r="J7" s="672">
        <v>0</v>
      </c>
      <c r="K7" s="672">
        <v>0</v>
      </c>
      <c r="L7" s="672">
        <v>0</v>
      </c>
      <c r="M7" s="672">
        <v>0</v>
      </c>
      <c r="N7" s="144">
        <f t="shared" si="1"/>
        <v>0</v>
      </c>
      <c r="O7" s="144">
        <f t="shared" si="19"/>
        <v>0</v>
      </c>
      <c r="P7" s="144">
        <f t="shared" si="2"/>
        <v>2</v>
      </c>
      <c r="Q7" s="144">
        <f t="shared" si="2"/>
        <v>25.67</v>
      </c>
      <c r="R7" s="144">
        <f t="shared" si="2"/>
        <v>2.67</v>
      </c>
      <c r="S7" s="144">
        <f t="shared" si="3"/>
        <v>30.340000000000003</v>
      </c>
      <c r="T7" s="672">
        <v>0</v>
      </c>
      <c r="U7" s="672">
        <v>3.67</v>
      </c>
      <c r="V7" s="672">
        <v>24</v>
      </c>
      <c r="W7" s="672">
        <v>1.75</v>
      </c>
      <c r="X7" s="144">
        <f t="shared" si="4"/>
        <v>29.42</v>
      </c>
      <c r="Y7" s="144">
        <v>0</v>
      </c>
      <c r="Z7" s="144">
        <v>3.67</v>
      </c>
      <c r="AA7" s="144">
        <v>24</v>
      </c>
      <c r="AB7" s="144">
        <v>1.75</v>
      </c>
      <c r="AC7" s="144">
        <f t="shared" si="5"/>
        <v>29.42</v>
      </c>
      <c r="AD7" s="144">
        <f t="shared" si="6"/>
        <v>1816769.5</v>
      </c>
      <c r="AE7" s="144">
        <f t="shared" si="7"/>
        <v>127094.40000000001</v>
      </c>
      <c r="AF7" s="144">
        <f t="shared" si="8"/>
        <v>176520</v>
      </c>
      <c r="AG7" s="144">
        <f t="shared" si="9"/>
        <v>70608</v>
      </c>
      <c r="AH7" s="144">
        <f t="shared" si="10"/>
        <v>258896.00000000003</v>
      </c>
      <c r="AI7" s="144">
        <f t="shared" si="11"/>
        <v>23536</v>
      </c>
      <c r="AJ7" s="144">
        <f t="shared" si="12"/>
        <v>30000</v>
      </c>
      <c r="AK7" s="144">
        <f t="shared" si="13"/>
        <v>28243.200000000001</v>
      </c>
      <c r="AL7" s="144">
        <f t="shared" si="14"/>
        <v>750671.28</v>
      </c>
      <c r="AM7" s="144"/>
      <c r="AN7" s="144"/>
      <c r="AO7" s="144">
        <v>5140</v>
      </c>
      <c r="AP7" s="144">
        <f t="shared" si="15"/>
        <v>3287478.38</v>
      </c>
      <c r="AQ7" s="144">
        <v>3183034.58</v>
      </c>
      <c r="AR7" s="144">
        <f t="shared" si="16"/>
        <v>29919.5</v>
      </c>
      <c r="AS7" s="144">
        <f t="shared" si="17"/>
        <v>3212954.08</v>
      </c>
      <c r="AT7" s="675">
        <v>2214331</v>
      </c>
      <c r="AU7" s="757">
        <v>738110</v>
      </c>
      <c r="AV7" s="610">
        <f t="shared" si="18"/>
        <v>260513.08000000007</v>
      </c>
      <c r="AW7" s="610"/>
      <c r="AX7" s="145">
        <f t="shared" si="20"/>
        <v>104443.79999999981</v>
      </c>
    </row>
    <row r="8" spans="1:51" ht="15" customHeight="1">
      <c r="A8" s="141" t="s">
        <v>542</v>
      </c>
      <c r="B8" s="240" t="s">
        <v>477</v>
      </c>
      <c r="C8" s="240" t="s">
        <v>2101</v>
      </c>
      <c r="D8" s="672"/>
      <c r="E8" s="165">
        <v>0</v>
      </c>
      <c r="F8" s="165">
        <v>3.33</v>
      </c>
      <c r="G8" s="165">
        <v>0</v>
      </c>
      <c r="H8" s="165">
        <v>5.67</v>
      </c>
      <c r="I8" s="144">
        <f t="shared" si="0"/>
        <v>9</v>
      </c>
      <c r="J8" s="672">
        <v>0.57999999999999996</v>
      </c>
      <c r="K8" s="672">
        <v>0.33</v>
      </c>
      <c r="L8" s="672">
        <v>0</v>
      </c>
      <c r="M8" s="672">
        <v>0.67</v>
      </c>
      <c r="N8" s="144">
        <f t="shared" si="1"/>
        <v>1.58</v>
      </c>
      <c r="O8" s="144">
        <f t="shared" si="19"/>
        <v>0.57999999999999996</v>
      </c>
      <c r="P8" s="144">
        <f t="shared" si="2"/>
        <v>3.66</v>
      </c>
      <c r="Q8" s="144">
        <f t="shared" si="2"/>
        <v>0</v>
      </c>
      <c r="R8" s="144">
        <f t="shared" si="2"/>
        <v>6.34</v>
      </c>
      <c r="S8" s="144">
        <f t="shared" si="3"/>
        <v>10.58</v>
      </c>
      <c r="T8" s="672">
        <v>0.57999999999999996</v>
      </c>
      <c r="U8" s="672">
        <v>3</v>
      </c>
      <c r="V8" s="672">
        <v>0</v>
      </c>
      <c r="W8" s="672">
        <v>7</v>
      </c>
      <c r="X8" s="144">
        <f t="shared" si="4"/>
        <v>10.58</v>
      </c>
      <c r="Y8" s="144">
        <v>0.57999999999999996</v>
      </c>
      <c r="Z8" s="144">
        <v>3</v>
      </c>
      <c r="AA8" s="144">
        <v>0</v>
      </c>
      <c r="AB8" s="144">
        <v>7</v>
      </c>
      <c r="AC8" s="144">
        <f t="shared" si="5"/>
        <v>10.58</v>
      </c>
      <c r="AD8" s="144">
        <f t="shared" si="6"/>
        <v>589628.32000000007</v>
      </c>
      <c r="AE8" s="144">
        <f t="shared" si="7"/>
        <v>45705.599999999999</v>
      </c>
      <c r="AF8" s="144">
        <f t="shared" si="8"/>
        <v>63480</v>
      </c>
      <c r="AG8" s="144">
        <f t="shared" si="9"/>
        <v>25392</v>
      </c>
      <c r="AH8" s="144">
        <f t="shared" si="10"/>
        <v>93104</v>
      </c>
      <c r="AI8" s="144">
        <f t="shared" si="11"/>
        <v>8464</v>
      </c>
      <c r="AJ8" s="144">
        <f t="shared" si="12"/>
        <v>0</v>
      </c>
      <c r="AK8" s="144">
        <f t="shared" si="13"/>
        <v>10156.799999999999</v>
      </c>
      <c r="AL8" s="144">
        <f t="shared" si="14"/>
        <v>244632.15</v>
      </c>
      <c r="AM8" s="144">
        <v>2677.5</v>
      </c>
      <c r="AN8" s="144"/>
      <c r="AO8" s="144"/>
      <c r="AP8" s="144">
        <f t="shared" si="15"/>
        <v>1083240.3700000001</v>
      </c>
      <c r="AQ8" s="144">
        <v>1116630.25</v>
      </c>
      <c r="AR8" s="144">
        <f t="shared" si="16"/>
        <v>10490</v>
      </c>
      <c r="AS8" s="144">
        <f t="shared" si="17"/>
        <v>1127120.25</v>
      </c>
      <c r="AT8" s="675">
        <v>737421</v>
      </c>
      <c r="AU8" s="757">
        <v>245807</v>
      </c>
      <c r="AV8" s="610">
        <f t="shared" si="18"/>
        <v>143892.25</v>
      </c>
      <c r="AW8" s="610"/>
      <c r="AX8" s="145">
        <f t="shared" si="20"/>
        <v>-33389.879999999888</v>
      </c>
      <c r="AY8" s="137" t="s">
        <v>2383</v>
      </c>
    </row>
    <row r="9" spans="1:51" ht="15" customHeight="1">
      <c r="A9" s="141" t="s">
        <v>542</v>
      </c>
      <c r="B9" s="240" t="s">
        <v>924</v>
      </c>
      <c r="C9" s="240" t="s">
        <v>2101</v>
      </c>
      <c r="D9" s="672"/>
      <c r="E9" s="165">
        <v>10</v>
      </c>
      <c r="F9" s="165">
        <v>10.67</v>
      </c>
      <c r="G9" s="165">
        <v>0</v>
      </c>
      <c r="H9" s="165">
        <v>11.33</v>
      </c>
      <c r="I9" s="144">
        <f t="shared" si="0"/>
        <v>32</v>
      </c>
      <c r="J9" s="672">
        <v>5</v>
      </c>
      <c r="K9" s="672">
        <v>0</v>
      </c>
      <c r="L9" s="672">
        <v>0</v>
      </c>
      <c r="M9" s="672">
        <v>0</v>
      </c>
      <c r="N9" s="144">
        <f t="shared" si="1"/>
        <v>5</v>
      </c>
      <c r="O9" s="144">
        <f t="shared" si="19"/>
        <v>15</v>
      </c>
      <c r="P9" s="144">
        <f t="shared" si="2"/>
        <v>10.67</v>
      </c>
      <c r="Q9" s="144">
        <f t="shared" si="2"/>
        <v>0</v>
      </c>
      <c r="R9" s="144">
        <f t="shared" si="2"/>
        <v>11.33</v>
      </c>
      <c r="S9" s="144">
        <f t="shared" si="3"/>
        <v>37</v>
      </c>
      <c r="T9" s="672">
        <v>15.58</v>
      </c>
      <c r="U9" s="672">
        <v>12.5</v>
      </c>
      <c r="V9" s="672">
        <v>0</v>
      </c>
      <c r="W9" s="672">
        <v>7.5</v>
      </c>
      <c r="X9" s="144">
        <f t="shared" si="4"/>
        <v>35.58</v>
      </c>
      <c r="Y9" s="144">
        <v>15.58</v>
      </c>
      <c r="Z9" s="144">
        <v>12.5</v>
      </c>
      <c r="AA9" s="144">
        <v>0</v>
      </c>
      <c r="AB9" s="144">
        <v>7.5</v>
      </c>
      <c r="AC9" s="144">
        <f t="shared" si="5"/>
        <v>35.58</v>
      </c>
      <c r="AD9" s="144">
        <f t="shared" si="6"/>
        <v>2296813.3199999998</v>
      </c>
      <c r="AE9" s="144">
        <f t="shared" si="7"/>
        <v>153705.60000000001</v>
      </c>
      <c r="AF9" s="144">
        <f t="shared" si="8"/>
        <v>213480</v>
      </c>
      <c r="AG9" s="144">
        <f t="shared" si="9"/>
        <v>85392</v>
      </c>
      <c r="AH9" s="144">
        <f t="shared" si="10"/>
        <v>313104</v>
      </c>
      <c r="AI9" s="144">
        <f t="shared" si="11"/>
        <v>28464</v>
      </c>
      <c r="AJ9" s="144">
        <f t="shared" si="12"/>
        <v>0</v>
      </c>
      <c r="AK9" s="144">
        <f t="shared" si="13"/>
        <v>34156.799999999996</v>
      </c>
      <c r="AL9" s="144">
        <f t="shared" si="14"/>
        <v>1000559.58</v>
      </c>
      <c r="AM9" s="144">
        <v>199602.5</v>
      </c>
      <c r="AN9" s="144"/>
      <c r="AO9" s="144"/>
      <c r="AP9" s="144">
        <f t="shared" si="15"/>
        <v>4325277.8</v>
      </c>
      <c r="AQ9" s="144">
        <f>4514341.24-16650-182020</f>
        <v>4315671.24</v>
      </c>
      <c r="AR9" s="144">
        <f t="shared" si="16"/>
        <v>75615</v>
      </c>
      <c r="AS9" s="144">
        <f t="shared" si="17"/>
        <v>4391286.24</v>
      </c>
      <c r="AT9" s="675">
        <v>2423664</v>
      </c>
      <c r="AU9" s="757">
        <v>807888</v>
      </c>
      <c r="AV9" s="610">
        <f t="shared" si="18"/>
        <v>1159734.2400000002</v>
      </c>
      <c r="AW9" s="610"/>
      <c r="AX9" s="145">
        <f t="shared" si="20"/>
        <v>9606.5599999995902</v>
      </c>
    </row>
    <row r="10" spans="1:51" ht="15" customHeight="1">
      <c r="A10" s="141" t="s">
        <v>542</v>
      </c>
      <c r="B10" s="240" t="s">
        <v>2158</v>
      </c>
      <c r="C10" s="240" t="s">
        <v>2101</v>
      </c>
      <c r="D10" s="672"/>
      <c r="E10" s="165">
        <v>0</v>
      </c>
      <c r="F10" s="165">
        <v>3.33</v>
      </c>
      <c r="G10" s="165">
        <v>0</v>
      </c>
      <c r="H10" s="165">
        <v>3.33</v>
      </c>
      <c r="I10" s="144">
        <f t="shared" si="0"/>
        <v>6.66</v>
      </c>
      <c r="J10" s="672">
        <v>1.33</v>
      </c>
      <c r="K10" s="672">
        <v>0</v>
      </c>
      <c r="L10" s="672">
        <v>0</v>
      </c>
      <c r="M10" s="672">
        <v>0</v>
      </c>
      <c r="N10" s="144">
        <f t="shared" si="1"/>
        <v>1.33</v>
      </c>
      <c r="O10" s="144">
        <f t="shared" si="19"/>
        <v>1.33</v>
      </c>
      <c r="P10" s="144">
        <f t="shared" si="2"/>
        <v>3.33</v>
      </c>
      <c r="Q10" s="144">
        <f t="shared" si="2"/>
        <v>0</v>
      </c>
      <c r="R10" s="144">
        <f t="shared" si="2"/>
        <v>3.33</v>
      </c>
      <c r="S10" s="144">
        <f t="shared" si="3"/>
        <v>7.99</v>
      </c>
      <c r="T10" s="672">
        <v>1.83</v>
      </c>
      <c r="U10" s="672">
        <v>3</v>
      </c>
      <c r="V10" s="672">
        <v>0</v>
      </c>
      <c r="W10" s="672">
        <v>3</v>
      </c>
      <c r="X10" s="144">
        <f t="shared" si="4"/>
        <v>7.83</v>
      </c>
      <c r="Y10" s="144">
        <v>1.83</v>
      </c>
      <c r="Z10" s="144">
        <v>3</v>
      </c>
      <c r="AA10" s="144">
        <v>0</v>
      </c>
      <c r="AB10" s="144">
        <v>3</v>
      </c>
      <c r="AC10" s="144">
        <f t="shared" si="5"/>
        <v>7.83</v>
      </c>
      <c r="AD10" s="144">
        <f t="shared" si="6"/>
        <v>474883.32</v>
      </c>
      <c r="AE10" s="144">
        <f t="shared" si="7"/>
        <v>33825.599999999999</v>
      </c>
      <c r="AF10" s="144">
        <f t="shared" si="8"/>
        <v>46980</v>
      </c>
      <c r="AG10" s="144">
        <f t="shared" si="9"/>
        <v>18792</v>
      </c>
      <c r="AH10" s="144">
        <f t="shared" si="10"/>
        <v>68904</v>
      </c>
      <c r="AI10" s="144">
        <f t="shared" si="11"/>
        <v>6264</v>
      </c>
      <c r="AJ10" s="144">
        <f t="shared" si="12"/>
        <v>0</v>
      </c>
      <c r="AK10" s="144">
        <f t="shared" si="13"/>
        <v>7516.8</v>
      </c>
      <c r="AL10" s="144">
        <f t="shared" si="14"/>
        <v>197769.7</v>
      </c>
      <c r="AM10" s="144">
        <v>10902</v>
      </c>
      <c r="AN10" s="144"/>
      <c r="AO10" s="144"/>
      <c r="AP10" s="144">
        <f t="shared" si="15"/>
        <v>865837.41999999993</v>
      </c>
      <c r="AQ10" s="144">
        <f>913177.23-33022</f>
        <v>880155.23</v>
      </c>
      <c r="AR10" s="144">
        <f t="shared" si="16"/>
        <v>12840</v>
      </c>
      <c r="AS10" s="144">
        <f t="shared" si="17"/>
        <v>892995.23</v>
      </c>
      <c r="AT10" s="675">
        <v>594270</v>
      </c>
      <c r="AU10" s="757">
        <v>198090</v>
      </c>
      <c r="AV10" s="610">
        <f t="shared" si="18"/>
        <v>100635.22999999998</v>
      </c>
      <c r="AW10" s="610"/>
      <c r="AX10" s="145">
        <f t="shared" si="20"/>
        <v>-14317.810000000056</v>
      </c>
      <c r="AY10" s="137" t="s">
        <v>2383</v>
      </c>
    </row>
    <row r="11" spans="1:51" ht="15" customHeight="1">
      <c r="A11" s="141" t="s">
        <v>542</v>
      </c>
      <c r="B11" s="240" t="s">
        <v>475</v>
      </c>
      <c r="C11" s="240" t="s">
        <v>2101</v>
      </c>
      <c r="D11" s="672"/>
      <c r="E11" s="165">
        <v>0</v>
      </c>
      <c r="F11" s="165">
        <v>3.33</v>
      </c>
      <c r="G11" s="165">
        <v>0</v>
      </c>
      <c r="H11" s="165">
        <v>5.67</v>
      </c>
      <c r="I11" s="144">
        <f t="shared" si="0"/>
        <v>9</v>
      </c>
      <c r="J11" s="672">
        <v>0</v>
      </c>
      <c r="K11" s="672">
        <v>0</v>
      </c>
      <c r="L11" s="672">
        <v>0</v>
      </c>
      <c r="M11" s="672">
        <v>0</v>
      </c>
      <c r="N11" s="144">
        <f t="shared" si="1"/>
        <v>0</v>
      </c>
      <c r="O11" s="144">
        <f t="shared" si="19"/>
        <v>0</v>
      </c>
      <c r="P11" s="144">
        <f t="shared" si="2"/>
        <v>3.33</v>
      </c>
      <c r="Q11" s="144">
        <f t="shared" si="2"/>
        <v>0</v>
      </c>
      <c r="R11" s="144">
        <f t="shared" si="2"/>
        <v>5.67</v>
      </c>
      <c r="S11" s="144">
        <f t="shared" si="3"/>
        <v>9</v>
      </c>
      <c r="T11" s="672">
        <v>0</v>
      </c>
      <c r="U11" s="672">
        <v>2</v>
      </c>
      <c r="V11" s="672">
        <v>0</v>
      </c>
      <c r="W11" s="672">
        <v>6</v>
      </c>
      <c r="X11" s="144">
        <f t="shared" si="4"/>
        <v>8</v>
      </c>
      <c r="Y11" s="144">
        <v>0</v>
      </c>
      <c r="Z11" s="144">
        <v>2</v>
      </c>
      <c r="AA11" s="144">
        <v>0</v>
      </c>
      <c r="AB11" s="144">
        <v>6</v>
      </c>
      <c r="AC11" s="144">
        <f t="shared" si="5"/>
        <v>8</v>
      </c>
      <c r="AD11" s="144">
        <f t="shared" si="6"/>
        <v>433500</v>
      </c>
      <c r="AE11" s="144">
        <f t="shared" si="7"/>
        <v>34560</v>
      </c>
      <c r="AF11" s="144">
        <f t="shared" si="8"/>
        <v>48000</v>
      </c>
      <c r="AG11" s="144">
        <f t="shared" si="9"/>
        <v>19200</v>
      </c>
      <c r="AH11" s="144">
        <f t="shared" si="10"/>
        <v>70400</v>
      </c>
      <c r="AI11" s="144">
        <f t="shared" si="11"/>
        <v>6400</v>
      </c>
      <c r="AJ11" s="144">
        <f t="shared" si="12"/>
        <v>0</v>
      </c>
      <c r="AK11" s="144">
        <f t="shared" si="13"/>
        <v>7680</v>
      </c>
      <c r="AL11" s="144">
        <f t="shared" si="14"/>
        <v>180046.4</v>
      </c>
      <c r="AM11" s="144">
        <v>383</v>
      </c>
      <c r="AN11" s="144"/>
      <c r="AO11" s="144"/>
      <c r="AP11" s="144">
        <f t="shared" si="15"/>
        <v>800169.4</v>
      </c>
      <c r="AQ11" s="144">
        <v>832724.68</v>
      </c>
      <c r="AR11" s="144">
        <f t="shared" si="16"/>
        <v>6300</v>
      </c>
      <c r="AS11" s="144">
        <f t="shared" si="17"/>
        <v>839024.68</v>
      </c>
      <c r="AT11" s="675">
        <v>480100</v>
      </c>
      <c r="AU11" s="757">
        <v>160033</v>
      </c>
      <c r="AV11" s="610">
        <f t="shared" si="18"/>
        <v>198891.68000000005</v>
      </c>
      <c r="AW11" s="610"/>
      <c r="AX11" s="145">
        <f t="shared" si="20"/>
        <v>-32555.280000000028</v>
      </c>
      <c r="AY11" s="137" t="s">
        <v>2384</v>
      </c>
    </row>
    <row r="12" spans="1:51" ht="15" customHeight="1">
      <c r="A12" s="141" t="s">
        <v>542</v>
      </c>
      <c r="B12" s="240" t="s">
        <v>922</v>
      </c>
      <c r="C12" s="240" t="s">
        <v>2101</v>
      </c>
      <c r="D12" s="672"/>
      <c r="E12" s="165">
        <v>1</v>
      </c>
      <c r="F12" s="165">
        <v>3.67</v>
      </c>
      <c r="G12" s="165">
        <v>0</v>
      </c>
      <c r="H12" s="165">
        <v>6</v>
      </c>
      <c r="I12" s="144">
        <f t="shared" si="0"/>
        <v>10.67</v>
      </c>
      <c r="J12" s="672">
        <v>0.5</v>
      </c>
      <c r="K12" s="672">
        <v>0</v>
      </c>
      <c r="L12" s="672">
        <v>0</v>
      </c>
      <c r="M12" s="672">
        <v>0</v>
      </c>
      <c r="N12" s="144">
        <f t="shared" si="1"/>
        <v>0.5</v>
      </c>
      <c r="O12" s="144">
        <f t="shared" si="19"/>
        <v>1.5</v>
      </c>
      <c r="P12" s="144">
        <f t="shared" si="2"/>
        <v>3.67</v>
      </c>
      <c r="Q12" s="144">
        <f t="shared" si="2"/>
        <v>0</v>
      </c>
      <c r="R12" s="144">
        <f t="shared" si="2"/>
        <v>6</v>
      </c>
      <c r="S12" s="144">
        <f t="shared" si="3"/>
        <v>11.17</v>
      </c>
      <c r="T12" s="672">
        <v>2.42</v>
      </c>
      <c r="U12" s="672">
        <v>1.83</v>
      </c>
      <c r="V12" s="672">
        <v>0</v>
      </c>
      <c r="W12" s="672">
        <v>5.17</v>
      </c>
      <c r="X12" s="144">
        <f t="shared" si="4"/>
        <v>9.42</v>
      </c>
      <c r="Y12" s="144">
        <v>2.42</v>
      </c>
      <c r="Z12" s="144">
        <v>1.83</v>
      </c>
      <c r="AA12" s="144">
        <v>0</v>
      </c>
      <c r="AB12" s="144">
        <v>5.17</v>
      </c>
      <c r="AC12" s="144">
        <f t="shared" si="5"/>
        <v>9.42</v>
      </c>
      <c r="AD12" s="144">
        <f t="shared" si="6"/>
        <v>554986.17999999993</v>
      </c>
      <c r="AE12" s="144">
        <f t="shared" si="7"/>
        <v>40694.400000000001</v>
      </c>
      <c r="AF12" s="144">
        <f t="shared" si="8"/>
        <v>56520</v>
      </c>
      <c r="AG12" s="144">
        <f t="shared" si="9"/>
        <v>22608</v>
      </c>
      <c r="AH12" s="144">
        <f t="shared" si="10"/>
        <v>82896</v>
      </c>
      <c r="AI12" s="144">
        <f t="shared" si="11"/>
        <v>7536</v>
      </c>
      <c r="AJ12" s="144">
        <f t="shared" si="12"/>
        <v>0</v>
      </c>
      <c r="AK12" s="144">
        <f t="shared" si="13"/>
        <v>9043.2000000000007</v>
      </c>
      <c r="AL12" s="144">
        <f t="shared" si="14"/>
        <v>245484.24</v>
      </c>
      <c r="AM12" s="144">
        <v>50872.5</v>
      </c>
      <c r="AN12" s="144"/>
      <c r="AO12" s="144"/>
      <c r="AP12" s="144">
        <f t="shared" si="15"/>
        <v>1070640.52</v>
      </c>
      <c r="AQ12" s="144">
        <v>964984.27</v>
      </c>
      <c r="AR12" s="144">
        <f t="shared" si="16"/>
        <v>12912.5</v>
      </c>
      <c r="AS12" s="144">
        <f t="shared" si="17"/>
        <v>977896.77</v>
      </c>
      <c r="AT12" s="675">
        <v>577261</v>
      </c>
      <c r="AU12" s="757">
        <v>192420</v>
      </c>
      <c r="AV12" s="610">
        <f t="shared" si="18"/>
        <v>208215.77000000002</v>
      </c>
      <c r="AW12" s="610"/>
      <c r="AX12" s="145">
        <f t="shared" si="20"/>
        <v>105656.25</v>
      </c>
    </row>
    <row r="13" spans="1:51" ht="15" customHeight="1">
      <c r="A13" s="141" t="s">
        <v>542</v>
      </c>
      <c r="B13" s="240" t="s">
        <v>925</v>
      </c>
      <c r="C13" s="240" t="s">
        <v>2101</v>
      </c>
      <c r="D13" s="672"/>
      <c r="E13" s="165">
        <v>0</v>
      </c>
      <c r="F13" s="165">
        <v>6</v>
      </c>
      <c r="G13" s="165">
        <v>0</v>
      </c>
      <c r="H13" s="165">
        <v>6</v>
      </c>
      <c r="I13" s="144">
        <f t="shared" si="0"/>
        <v>12</v>
      </c>
      <c r="J13" s="672">
        <v>0</v>
      </c>
      <c r="K13" s="672">
        <v>1</v>
      </c>
      <c r="L13" s="672">
        <v>0</v>
      </c>
      <c r="M13" s="672">
        <v>0</v>
      </c>
      <c r="N13" s="144">
        <f t="shared" si="1"/>
        <v>1</v>
      </c>
      <c r="O13" s="144">
        <f t="shared" si="19"/>
        <v>0</v>
      </c>
      <c r="P13" s="144">
        <f t="shared" si="2"/>
        <v>7</v>
      </c>
      <c r="Q13" s="144">
        <f t="shared" si="2"/>
        <v>0</v>
      </c>
      <c r="R13" s="144">
        <f t="shared" si="2"/>
        <v>6</v>
      </c>
      <c r="S13" s="144">
        <f t="shared" si="3"/>
        <v>13</v>
      </c>
      <c r="T13" s="672">
        <v>0</v>
      </c>
      <c r="U13" s="672">
        <v>7</v>
      </c>
      <c r="V13" s="672">
        <v>0</v>
      </c>
      <c r="W13" s="672">
        <v>6</v>
      </c>
      <c r="X13" s="144">
        <f t="shared" si="4"/>
        <v>13</v>
      </c>
      <c r="Y13" s="144">
        <v>0</v>
      </c>
      <c r="Z13" s="144">
        <v>7</v>
      </c>
      <c r="AA13" s="144">
        <v>0</v>
      </c>
      <c r="AB13" s="144">
        <v>6</v>
      </c>
      <c r="AC13" s="144">
        <f t="shared" si="5"/>
        <v>13</v>
      </c>
      <c r="AD13" s="144">
        <f t="shared" si="6"/>
        <v>748500</v>
      </c>
      <c r="AE13" s="144">
        <f t="shared" si="7"/>
        <v>56160</v>
      </c>
      <c r="AF13" s="144">
        <f t="shared" si="8"/>
        <v>78000</v>
      </c>
      <c r="AG13" s="144">
        <f t="shared" si="9"/>
        <v>31200</v>
      </c>
      <c r="AH13" s="144">
        <f t="shared" si="10"/>
        <v>114400</v>
      </c>
      <c r="AI13" s="144">
        <f t="shared" si="11"/>
        <v>10400</v>
      </c>
      <c r="AJ13" s="144">
        <f t="shared" si="12"/>
        <v>0</v>
      </c>
      <c r="AK13" s="144">
        <f t="shared" si="13"/>
        <v>12480</v>
      </c>
      <c r="AL13" s="144">
        <f t="shared" si="14"/>
        <v>323590.84999999998</v>
      </c>
      <c r="AM13" s="144">
        <v>44532</v>
      </c>
      <c r="AN13" s="144"/>
      <c r="AO13" s="144"/>
      <c r="AP13" s="144">
        <f t="shared" si="15"/>
        <v>1419262.85</v>
      </c>
      <c r="AQ13" s="144">
        <v>1415165.06</v>
      </c>
      <c r="AR13" s="144">
        <f t="shared" si="16"/>
        <v>16800</v>
      </c>
      <c r="AS13" s="144">
        <f t="shared" si="17"/>
        <v>1431965.06</v>
      </c>
      <c r="AT13" s="675">
        <v>966497</v>
      </c>
      <c r="AU13" s="757">
        <v>322166</v>
      </c>
      <c r="AV13" s="610">
        <f t="shared" si="18"/>
        <v>143302.06000000006</v>
      </c>
      <c r="AW13" s="610"/>
      <c r="AX13" s="145">
        <f t="shared" si="20"/>
        <v>4097.7900000000373</v>
      </c>
    </row>
    <row r="14" spans="1:51" ht="15" customHeight="1">
      <c r="A14" s="141" t="s">
        <v>542</v>
      </c>
      <c r="B14" s="240" t="s">
        <v>923</v>
      </c>
      <c r="C14" s="240" t="s">
        <v>2101</v>
      </c>
      <c r="D14" s="672"/>
      <c r="E14" s="165">
        <v>1</v>
      </c>
      <c r="F14" s="165">
        <v>5.33</v>
      </c>
      <c r="G14" s="165">
        <v>0</v>
      </c>
      <c r="H14" s="165">
        <v>10</v>
      </c>
      <c r="I14" s="144">
        <f t="shared" si="0"/>
        <v>16.329999999999998</v>
      </c>
      <c r="J14" s="672">
        <v>3</v>
      </c>
      <c r="K14" s="672">
        <v>0</v>
      </c>
      <c r="L14" s="672">
        <v>0</v>
      </c>
      <c r="M14" s="672">
        <v>0</v>
      </c>
      <c r="N14" s="144">
        <f t="shared" si="1"/>
        <v>3</v>
      </c>
      <c r="O14" s="144">
        <f t="shared" si="19"/>
        <v>4</v>
      </c>
      <c r="P14" s="144">
        <f t="shared" si="2"/>
        <v>5.33</v>
      </c>
      <c r="Q14" s="144">
        <f t="shared" si="2"/>
        <v>0</v>
      </c>
      <c r="R14" s="144">
        <f t="shared" si="2"/>
        <v>10</v>
      </c>
      <c r="S14" s="144">
        <f t="shared" si="3"/>
        <v>19.329999999999998</v>
      </c>
      <c r="T14" s="672">
        <v>3</v>
      </c>
      <c r="U14" s="672">
        <v>10</v>
      </c>
      <c r="V14" s="672">
        <v>0</v>
      </c>
      <c r="W14" s="672">
        <v>6</v>
      </c>
      <c r="X14" s="144">
        <f t="shared" si="4"/>
        <v>19</v>
      </c>
      <c r="Y14" s="144">
        <v>3</v>
      </c>
      <c r="Z14" s="144">
        <v>10</v>
      </c>
      <c r="AA14" s="144">
        <v>0</v>
      </c>
      <c r="AB14" s="144">
        <v>6</v>
      </c>
      <c r="AC14" s="144">
        <f t="shared" si="5"/>
        <v>19</v>
      </c>
      <c r="AD14" s="144">
        <f t="shared" si="6"/>
        <v>1154112</v>
      </c>
      <c r="AE14" s="144">
        <f t="shared" si="7"/>
        <v>82080</v>
      </c>
      <c r="AF14" s="144">
        <f t="shared" si="8"/>
        <v>114000</v>
      </c>
      <c r="AG14" s="144">
        <f t="shared" si="9"/>
        <v>45600</v>
      </c>
      <c r="AH14" s="144">
        <f t="shared" si="10"/>
        <v>167200</v>
      </c>
      <c r="AI14" s="144">
        <f t="shared" si="11"/>
        <v>15200</v>
      </c>
      <c r="AJ14" s="144">
        <f t="shared" si="12"/>
        <v>0</v>
      </c>
      <c r="AK14" s="144">
        <f t="shared" si="13"/>
        <v>18240</v>
      </c>
      <c r="AL14" s="144">
        <f t="shared" si="14"/>
        <v>479834.69</v>
      </c>
      <c r="AM14" s="144">
        <v>24489.5</v>
      </c>
      <c r="AN14" s="144"/>
      <c r="AO14" s="144"/>
      <c r="AP14" s="144">
        <f t="shared" si="15"/>
        <v>2100756.19</v>
      </c>
      <c r="AQ14" s="144">
        <v>2089700.1199999999</v>
      </c>
      <c r="AR14" s="144">
        <f t="shared" si="16"/>
        <v>32100</v>
      </c>
      <c r="AS14" s="144">
        <f t="shared" si="17"/>
        <v>2121800.12</v>
      </c>
      <c r="AT14" s="675">
        <v>1246915</v>
      </c>
      <c r="AU14" s="757">
        <v>415638</v>
      </c>
      <c r="AV14" s="610">
        <f t="shared" si="18"/>
        <v>459247.12000000011</v>
      </c>
      <c r="AW14" s="610"/>
      <c r="AX14" s="145">
        <f t="shared" si="20"/>
        <v>11056.070000000065</v>
      </c>
    </row>
    <row r="15" spans="1:51" ht="15" customHeight="1">
      <c r="A15" s="141" t="s">
        <v>542</v>
      </c>
      <c r="B15" s="240" t="s">
        <v>2159</v>
      </c>
      <c r="C15" s="240" t="s">
        <v>2101</v>
      </c>
      <c r="D15" s="672"/>
      <c r="E15" s="165">
        <v>4</v>
      </c>
      <c r="F15" s="165">
        <v>3</v>
      </c>
      <c r="G15" s="165">
        <v>0</v>
      </c>
      <c r="H15" s="165">
        <v>4.67</v>
      </c>
      <c r="I15" s="144">
        <f t="shared" si="0"/>
        <v>11.67</v>
      </c>
      <c r="J15" s="672">
        <v>1</v>
      </c>
      <c r="K15" s="672">
        <v>0</v>
      </c>
      <c r="L15" s="672">
        <v>0</v>
      </c>
      <c r="M15" s="672">
        <v>0</v>
      </c>
      <c r="N15" s="144">
        <f t="shared" si="1"/>
        <v>1</v>
      </c>
      <c r="O15" s="144">
        <f t="shared" si="19"/>
        <v>5</v>
      </c>
      <c r="P15" s="144">
        <f t="shared" si="2"/>
        <v>3</v>
      </c>
      <c r="Q15" s="144">
        <f t="shared" si="2"/>
        <v>0</v>
      </c>
      <c r="R15" s="144">
        <f t="shared" si="2"/>
        <v>4.67</v>
      </c>
      <c r="S15" s="144">
        <f t="shared" si="3"/>
        <v>12.67</v>
      </c>
      <c r="T15" s="672">
        <v>4.92</v>
      </c>
      <c r="U15" s="672">
        <v>2</v>
      </c>
      <c r="V15" s="672">
        <v>0</v>
      </c>
      <c r="W15" s="672">
        <v>5.5</v>
      </c>
      <c r="X15" s="144">
        <f t="shared" si="4"/>
        <v>12.42</v>
      </c>
      <c r="Y15" s="144">
        <v>4.92</v>
      </c>
      <c r="Z15" s="144">
        <v>2</v>
      </c>
      <c r="AA15" s="144">
        <v>0</v>
      </c>
      <c r="AB15" s="144">
        <v>5.5</v>
      </c>
      <c r="AC15" s="144">
        <f t="shared" si="5"/>
        <v>12.42</v>
      </c>
      <c r="AD15" s="144">
        <f t="shared" si="6"/>
        <v>763118.67999999993</v>
      </c>
      <c r="AE15" s="144">
        <f t="shared" si="7"/>
        <v>53654.400000000001</v>
      </c>
      <c r="AF15" s="144">
        <f t="shared" si="8"/>
        <v>74520</v>
      </c>
      <c r="AG15" s="144">
        <f t="shared" si="9"/>
        <v>29808</v>
      </c>
      <c r="AH15" s="144">
        <f t="shared" si="10"/>
        <v>109296</v>
      </c>
      <c r="AI15" s="144">
        <f t="shared" si="11"/>
        <v>9936</v>
      </c>
      <c r="AJ15" s="144">
        <f t="shared" si="12"/>
        <v>0</v>
      </c>
      <c r="AK15" s="144">
        <f t="shared" si="13"/>
        <v>11923.2</v>
      </c>
      <c r="AL15" s="144">
        <f t="shared" si="14"/>
        <v>365880.49</v>
      </c>
      <c r="AM15" s="144">
        <v>155431.5</v>
      </c>
      <c r="AN15" s="144"/>
      <c r="AO15" s="144"/>
      <c r="AP15" s="144">
        <f t="shared" si="15"/>
        <v>1573568.27</v>
      </c>
      <c r="AQ15" s="144">
        <f>1556869.14-67982</f>
        <v>1488887.14</v>
      </c>
      <c r="AR15" s="144">
        <f t="shared" si="16"/>
        <v>20885</v>
      </c>
      <c r="AS15" s="144">
        <f t="shared" si="17"/>
        <v>1509772.14</v>
      </c>
      <c r="AT15" s="675">
        <v>656781</v>
      </c>
      <c r="AU15" s="757">
        <v>218927</v>
      </c>
      <c r="AV15" s="610">
        <f t="shared" si="18"/>
        <v>634064.1399999999</v>
      </c>
      <c r="AW15" s="610"/>
      <c r="AX15" s="145">
        <f t="shared" si="20"/>
        <v>84681.130000000121</v>
      </c>
    </row>
    <row r="16" spans="1:51" ht="15" customHeight="1">
      <c r="A16" s="141" t="s">
        <v>542</v>
      </c>
      <c r="B16" s="240" t="s">
        <v>2160</v>
      </c>
      <c r="C16" s="240" t="s">
        <v>2099</v>
      </c>
      <c r="D16" s="672">
        <v>2</v>
      </c>
      <c r="E16" s="165">
        <v>9.33</v>
      </c>
      <c r="F16" s="165">
        <v>3</v>
      </c>
      <c r="G16" s="165">
        <v>21.67</v>
      </c>
      <c r="H16" s="165">
        <v>2.67</v>
      </c>
      <c r="I16" s="144">
        <f t="shared" si="0"/>
        <v>36.67</v>
      </c>
      <c r="J16" s="672">
        <v>5</v>
      </c>
      <c r="K16" s="672">
        <v>1</v>
      </c>
      <c r="L16" s="672">
        <v>0</v>
      </c>
      <c r="M16" s="672">
        <v>0</v>
      </c>
      <c r="N16" s="144">
        <f t="shared" si="1"/>
        <v>6</v>
      </c>
      <c r="O16" s="144">
        <f t="shared" si="19"/>
        <v>14.33</v>
      </c>
      <c r="P16" s="144">
        <f t="shared" si="2"/>
        <v>4</v>
      </c>
      <c r="Q16" s="144">
        <f t="shared" si="2"/>
        <v>21.67</v>
      </c>
      <c r="R16" s="144">
        <f t="shared" si="2"/>
        <v>2.67</v>
      </c>
      <c r="S16" s="144">
        <f t="shared" si="3"/>
        <v>42.67</v>
      </c>
      <c r="T16" s="672">
        <v>13.33</v>
      </c>
      <c r="U16" s="672">
        <v>4</v>
      </c>
      <c r="V16" s="672">
        <v>22.5</v>
      </c>
      <c r="W16" s="672">
        <v>2</v>
      </c>
      <c r="X16" s="144">
        <f t="shared" si="4"/>
        <v>41.83</v>
      </c>
      <c r="Y16" s="144">
        <v>13.33</v>
      </c>
      <c r="Z16" s="144">
        <v>4</v>
      </c>
      <c r="AA16" s="144">
        <v>22.5</v>
      </c>
      <c r="AB16" s="144">
        <v>2</v>
      </c>
      <c r="AC16" s="144">
        <f t="shared" si="5"/>
        <v>41.83</v>
      </c>
      <c r="AD16" s="144">
        <f t="shared" si="6"/>
        <v>2719359.32</v>
      </c>
      <c r="AE16" s="144">
        <f t="shared" si="7"/>
        <v>180705.6</v>
      </c>
      <c r="AF16" s="144">
        <f t="shared" si="8"/>
        <v>250980</v>
      </c>
      <c r="AG16" s="144">
        <f t="shared" si="9"/>
        <v>100392</v>
      </c>
      <c r="AH16" s="144">
        <f t="shared" si="10"/>
        <v>368104</v>
      </c>
      <c r="AI16" s="144">
        <f t="shared" si="11"/>
        <v>33464</v>
      </c>
      <c r="AJ16" s="144">
        <f t="shared" si="12"/>
        <v>20000</v>
      </c>
      <c r="AK16" s="144">
        <f t="shared" si="13"/>
        <v>40156.799999999996</v>
      </c>
      <c r="AL16" s="144">
        <f t="shared" si="14"/>
        <v>1107365.3400000001</v>
      </c>
      <c r="AM16" s="144"/>
      <c r="AN16" s="144"/>
      <c r="AO16" s="144"/>
      <c r="AP16" s="144">
        <f t="shared" si="15"/>
        <v>4820527.0599999996</v>
      </c>
      <c r="AQ16" s="144">
        <v>4601695.33</v>
      </c>
      <c r="AR16" s="144">
        <f t="shared" si="16"/>
        <v>69340</v>
      </c>
      <c r="AS16" s="144">
        <f t="shared" si="17"/>
        <v>4671035.33</v>
      </c>
      <c r="AT16" s="675">
        <v>2833540</v>
      </c>
      <c r="AU16" s="757">
        <v>944513</v>
      </c>
      <c r="AV16" s="610">
        <f t="shared" si="18"/>
        <v>892982.33000000007</v>
      </c>
      <c r="AW16" s="610"/>
      <c r="AX16" s="145">
        <f t="shared" si="20"/>
        <v>218831.72999999952</v>
      </c>
    </row>
    <row r="17" spans="1:50" ht="15" customHeight="1">
      <c r="A17" s="141" t="s">
        <v>542</v>
      </c>
      <c r="B17" s="240" t="s">
        <v>2161</v>
      </c>
      <c r="C17" s="240" t="s">
        <v>2099</v>
      </c>
      <c r="D17" s="672">
        <v>1</v>
      </c>
      <c r="E17" s="165">
        <v>1.67</v>
      </c>
      <c r="F17" s="165">
        <v>1.33</v>
      </c>
      <c r="G17" s="165">
        <v>10.33</v>
      </c>
      <c r="H17" s="165">
        <v>1.33</v>
      </c>
      <c r="I17" s="144">
        <f t="shared" si="0"/>
        <v>14.66</v>
      </c>
      <c r="J17" s="672">
        <v>0.67</v>
      </c>
      <c r="K17" s="672">
        <v>2</v>
      </c>
      <c r="L17" s="672">
        <v>0</v>
      </c>
      <c r="M17" s="672">
        <v>0.33</v>
      </c>
      <c r="N17" s="144">
        <f t="shared" si="1"/>
        <v>3</v>
      </c>
      <c r="O17" s="144">
        <f t="shared" si="19"/>
        <v>2.34</v>
      </c>
      <c r="P17" s="144">
        <f t="shared" si="2"/>
        <v>3.33</v>
      </c>
      <c r="Q17" s="144">
        <f t="shared" si="2"/>
        <v>10.33</v>
      </c>
      <c r="R17" s="144">
        <f t="shared" si="2"/>
        <v>1.6600000000000001</v>
      </c>
      <c r="S17" s="144">
        <f t="shared" si="3"/>
        <v>17.66</v>
      </c>
      <c r="T17" s="672">
        <v>3.58</v>
      </c>
      <c r="U17" s="672">
        <v>2.33</v>
      </c>
      <c r="V17" s="672">
        <v>10.67</v>
      </c>
      <c r="W17" s="672">
        <v>1</v>
      </c>
      <c r="X17" s="144">
        <f t="shared" si="4"/>
        <v>17.579999999999998</v>
      </c>
      <c r="Y17" s="144">
        <v>3.58</v>
      </c>
      <c r="Z17" s="144">
        <v>2.33</v>
      </c>
      <c r="AA17" s="144">
        <v>10.67</v>
      </c>
      <c r="AB17" s="144">
        <v>1</v>
      </c>
      <c r="AC17" s="144">
        <f t="shared" si="5"/>
        <v>17.579999999999998</v>
      </c>
      <c r="AD17" s="144">
        <f t="shared" si="6"/>
        <v>1121570.08</v>
      </c>
      <c r="AE17" s="144">
        <f t="shared" si="7"/>
        <v>75945.599999999991</v>
      </c>
      <c r="AF17" s="144">
        <f t="shared" si="8"/>
        <v>105479.99999999999</v>
      </c>
      <c r="AG17" s="144">
        <f t="shared" si="9"/>
        <v>42191.999999999993</v>
      </c>
      <c r="AH17" s="144">
        <f t="shared" si="10"/>
        <v>154703.99999999997</v>
      </c>
      <c r="AI17" s="144">
        <f t="shared" si="11"/>
        <v>14063.999999999998</v>
      </c>
      <c r="AJ17" s="144">
        <f t="shared" si="12"/>
        <v>10000</v>
      </c>
      <c r="AK17" s="144">
        <f t="shared" si="13"/>
        <v>16876.8</v>
      </c>
      <c r="AL17" s="144">
        <f t="shared" si="14"/>
        <v>458447.19</v>
      </c>
      <c r="AM17" s="144"/>
      <c r="AN17" s="144"/>
      <c r="AO17" s="144"/>
      <c r="AP17" s="144">
        <f t="shared" si="15"/>
        <v>1999279.6700000002</v>
      </c>
      <c r="AQ17" s="144">
        <v>1942814.1199999999</v>
      </c>
      <c r="AR17" s="144">
        <f t="shared" si="16"/>
        <v>25586</v>
      </c>
      <c r="AS17" s="144">
        <f t="shared" si="17"/>
        <v>1968400.1199999999</v>
      </c>
      <c r="AT17" s="675">
        <v>753539</v>
      </c>
      <c r="AU17" s="757">
        <v>251180</v>
      </c>
      <c r="AV17" s="610">
        <f t="shared" si="18"/>
        <v>963681.11999999988</v>
      </c>
      <c r="AW17" s="610"/>
      <c r="AX17" s="145">
        <f t="shared" si="20"/>
        <v>56465.550000000279</v>
      </c>
    </row>
    <row r="18" spans="1:50" s="756" customFormat="1" ht="15" customHeight="1">
      <c r="A18" s="755"/>
      <c r="B18" s="755" t="s">
        <v>2162</v>
      </c>
      <c r="C18" s="755"/>
      <c r="D18" s="146">
        <f>SUM(D4:D17)</f>
        <v>12</v>
      </c>
      <c r="E18" s="146">
        <f t="shared" ref="E18:AW18" si="21">SUM(E4:E17)</f>
        <v>34.660000000000004</v>
      </c>
      <c r="F18" s="146">
        <f t="shared" si="21"/>
        <v>53.989999999999995</v>
      </c>
      <c r="G18" s="146">
        <f t="shared" si="21"/>
        <v>146.33000000000001</v>
      </c>
      <c r="H18" s="146">
        <f t="shared" si="21"/>
        <v>69.34</v>
      </c>
      <c r="I18" s="146">
        <f t="shared" si="21"/>
        <v>304.32</v>
      </c>
      <c r="J18" s="146">
        <f t="shared" si="21"/>
        <v>27.410000000000004</v>
      </c>
      <c r="K18" s="146">
        <f t="shared" si="21"/>
        <v>7.33</v>
      </c>
      <c r="L18" s="146">
        <f t="shared" si="21"/>
        <v>0</v>
      </c>
      <c r="M18" s="146">
        <f t="shared" si="21"/>
        <v>1</v>
      </c>
      <c r="N18" s="146">
        <f t="shared" si="21"/>
        <v>35.74</v>
      </c>
      <c r="O18" s="146">
        <f t="shared" si="21"/>
        <v>62.069999999999993</v>
      </c>
      <c r="P18" s="146">
        <f t="shared" si="21"/>
        <v>61.319999999999993</v>
      </c>
      <c r="Q18" s="146">
        <f t="shared" si="21"/>
        <v>146.33000000000001</v>
      </c>
      <c r="R18" s="146">
        <f t="shared" si="21"/>
        <v>70.339999999999989</v>
      </c>
      <c r="S18" s="146">
        <f t="shared" si="21"/>
        <v>340.06000000000006</v>
      </c>
      <c r="T18" s="146">
        <f t="shared" si="21"/>
        <v>62.819999999999993</v>
      </c>
      <c r="U18" s="146">
        <f t="shared" si="21"/>
        <v>63.33</v>
      </c>
      <c r="V18" s="146">
        <f t="shared" si="21"/>
        <v>144.01</v>
      </c>
      <c r="W18" s="146">
        <f t="shared" si="21"/>
        <v>61.42</v>
      </c>
      <c r="X18" s="146">
        <f t="shared" si="21"/>
        <v>331.58</v>
      </c>
      <c r="Y18" s="146">
        <f t="shared" si="21"/>
        <v>62.819999999999993</v>
      </c>
      <c r="Z18" s="146">
        <f t="shared" si="21"/>
        <v>63.33</v>
      </c>
      <c r="AA18" s="146">
        <f t="shared" si="21"/>
        <v>144.01</v>
      </c>
      <c r="AB18" s="146">
        <f t="shared" si="21"/>
        <v>61.42</v>
      </c>
      <c r="AC18" s="146">
        <f t="shared" si="21"/>
        <v>331.58</v>
      </c>
      <c r="AD18" s="146">
        <f t="shared" si="21"/>
        <v>20649275.560000002</v>
      </c>
      <c r="AE18" s="146">
        <f t="shared" si="21"/>
        <v>1432425.6</v>
      </c>
      <c r="AF18" s="146">
        <f t="shared" si="21"/>
        <v>1989480</v>
      </c>
      <c r="AG18" s="146">
        <f t="shared" si="21"/>
        <v>795792</v>
      </c>
      <c r="AH18" s="146">
        <f t="shared" si="21"/>
        <v>2917904</v>
      </c>
      <c r="AI18" s="146">
        <f t="shared" si="21"/>
        <v>265264</v>
      </c>
      <c r="AJ18" s="146">
        <f t="shared" si="21"/>
        <v>120000</v>
      </c>
      <c r="AK18" s="146">
        <f t="shared" si="21"/>
        <v>318316.79999999999</v>
      </c>
      <c r="AL18" s="146">
        <f t="shared" si="21"/>
        <v>8617036.7400000021</v>
      </c>
      <c r="AM18" s="146">
        <f t="shared" si="21"/>
        <v>488890.5</v>
      </c>
      <c r="AN18" s="146">
        <f t="shared" si="21"/>
        <v>0</v>
      </c>
      <c r="AO18" s="146">
        <f t="shared" si="21"/>
        <v>82390</v>
      </c>
      <c r="AP18" s="146">
        <f t="shared" si="21"/>
        <v>37676775.200000003</v>
      </c>
      <c r="AQ18" s="146">
        <f t="shared" si="21"/>
        <v>36638502.899999999</v>
      </c>
      <c r="AR18" s="146">
        <f t="shared" si="21"/>
        <v>472559</v>
      </c>
      <c r="AS18" s="146">
        <f t="shared" si="21"/>
        <v>37111061.899999999</v>
      </c>
      <c r="AT18" s="146">
        <f t="shared" si="21"/>
        <v>22883206</v>
      </c>
      <c r="AU18" s="758">
        <f t="shared" si="21"/>
        <v>7627734</v>
      </c>
      <c r="AV18" s="146">
        <f t="shared" si="21"/>
        <v>6600121.9000000004</v>
      </c>
      <c r="AW18" s="146">
        <f t="shared" si="21"/>
        <v>0</v>
      </c>
    </row>
    <row r="19" spans="1:50">
      <c r="AP19" s="145"/>
      <c r="AQ19" s="145"/>
      <c r="AR19" s="145"/>
      <c r="AS19" s="145"/>
      <c r="AT19" s="145"/>
    </row>
  </sheetData>
  <autoFilter ref="B2:AV18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T2:AT3"/>
    <mergeCell ref="AS2:AS3"/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8" sqref="A8:XFD12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965" t="s">
        <v>2359</v>
      </c>
      <c r="B1" s="966"/>
      <c r="C1" s="966"/>
      <c r="D1" s="966"/>
      <c r="E1" s="1055"/>
      <c r="F1" s="1055"/>
    </row>
    <row r="2" spans="1:6" ht="15" customHeight="1">
      <c r="A2" s="722" t="s">
        <v>2367</v>
      </c>
      <c r="B2" s="722" t="s">
        <v>2368</v>
      </c>
      <c r="C2" s="152" t="s">
        <v>2369</v>
      </c>
      <c r="D2" s="152" t="s">
        <v>2370</v>
      </c>
      <c r="E2" s="152" t="s">
        <v>2371</v>
      </c>
      <c r="F2" s="194" t="s">
        <v>2385</v>
      </c>
    </row>
    <row r="3" spans="1:6" ht="15" customHeight="1" outlineLevel="2">
      <c r="A3" s="722" t="s">
        <v>2372</v>
      </c>
      <c r="B3" s="267" t="s">
        <v>477</v>
      </c>
      <c r="C3" s="152">
        <v>222778</v>
      </c>
      <c r="D3" s="152">
        <v>115426</v>
      </c>
      <c r="E3" s="152">
        <f t="shared" ref="E3:E6" si="0">C3-D3</f>
        <v>107352</v>
      </c>
      <c r="F3" s="761"/>
    </row>
    <row r="4" spans="1:6" ht="15" customHeight="1" outlineLevel="2">
      <c r="A4" s="722" t="s">
        <v>2372</v>
      </c>
      <c r="B4" s="267" t="s">
        <v>924</v>
      </c>
      <c r="C4" s="152">
        <v>86780</v>
      </c>
      <c r="D4" s="152">
        <v>86780</v>
      </c>
      <c r="E4" s="152">
        <f t="shared" si="0"/>
        <v>0</v>
      </c>
      <c r="F4" s="761"/>
    </row>
    <row r="5" spans="1:6" ht="15" customHeight="1" outlineLevel="2">
      <c r="A5" s="722" t="s">
        <v>2372</v>
      </c>
      <c r="B5" s="267" t="s">
        <v>475</v>
      </c>
      <c r="C5" s="152">
        <v>198204</v>
      </c>
      <c r="D5" s="152">
        <v>198204</v>
      </c>
      <c r="E5" s="152">
        <f t="shared" si="0"/>
        <v>0</v>
      </c>
      <c r="F5" s="761"/>
    </row>
    <row r="6" spans="1:6" ht="15" customHeight="1" outlineLevel="2">
      <c r="A6" s="722" t="s">
        <v>2372</v>
      </c>
      <c r="B6" s="267" t="s">
        <v>925</v>
      </c>
      <c r="C6" s="152">
        <v>109894</v>
      </c>
      <c r="D6" s="152">
        <v>109894</v>
      </c>
      <c r="E6" s="152">
        <f t="shared" si="0"/>
        <v>0</v>
      </c>
      <c r="F6" s="761"/>
    </row>
    <row r="7" spans="1:6" ht="15" customHeight="1" outlineLevel="1">
      <c r="A7" s="763" t="s">
        <v>567</v>
      </c>
      <c r="B7" s="764"/>
      <c r="C7" s="762">
        <f>SUBTOTAL(9,C3:C6)</f>
        <v>617656</v>
      </c>
      <c r="D7" s="762">
        <f t="shared" ref="D7:F7" si="1">SUBTOTAL(9,D3:D6)</f>
        <v>510304</v>
      </c>
      <c r="E7" s="762">
        <f t="shared" si="1"/>
        <v>107352</v>
      </c>
      <c r="F7" s="762">
        <f t="shared" si="1"/>
        <v>0</v>
      </c>
    </row>
  </sheetData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I10"/>
  <sheetViews>
    <sheetView workbookViewId="0">
      <selection activeCell="A11" sqref="A11:XFD121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056" t="s">
        <v>2307</v>
      </c>
      <c r="B1" s="1057"/>
      <c r="C1" s="1057"/>
      <c r="D1" s="1057"/>
      <c r="E1" s="1057"/>
      <c r="F1" s="1057"/>
      <c r="G1" s="1057"/>
      <c r="H1" s="1058"/>
      <c r="I1" s="1058"/>
    </row>
    <row r="2" spans="1:9" ht="34.15" customHeight="1">
      <c r="A2" s="744" t="s">
        <v>1</v>
      </c>
      <c r="B2" s="744" t="s">
        <v>2280</v>
      </c>
      <c r="C2" s="744" t="s">
        <v>2293</v>
      </c>
      <c r="D2" s="744" t="s">
        <v>2294</v>
      </c>
      <c r="E2" s="744" t="s">
        <v>2295</v>
      </c>
      <c r="F2" s="744" t="s">
        <v>2296</v>
      </c>
      <c r="G2" s="745" t="s">
        <v>2297</v>
      </c>
      <c r="H2" s="760" t="s">
        <v>2390</v>
      </c>
      <c r="I2" s="760" t="s">
        <v>2391</v>
      </c>
    </row>
    <row r="3" spans="1:9" outlineLevel="2">
      <c r="A3" s="744">
        <v>1</v>
      </c>
      <c r="B3" s="744" t="s">
        <v>2298</v>
      </c>
      <c r="C3" s="744" t="s">
        <v>484</v>
      </c>
      <c r="D3" s="744" t="s">
        <v>2299</v>
      </c>
      <c r="E3" s="744" t="s">
        <v>2300</v>
      </c>
      <c r="F3" s="744" t="s">
        <v>382</v>
      </c>
      <c r="G3" s="744">
        <f>VLOOKUP(F3,[4]Sheet2!A:B,2,FALSE)</f>
        <v>92157</v>
      </c>
      <c r="H3" s="760">
        <v>92157</v>
      </c>
      <c r="I3" s="761"/>
    </row>
    <row r="4" spans="1:9" outlineLevel="2">
      <c r="A4" s="744">
        <v>2</v>
      </c>
      <c r="B4" s="744" t="s">
        <v>2301</v>
      </c>
      <c r="C4" s="744" t="s">
        <v>476</v>
      </c>
      <c r="D4" s="744" t="s">
        <v>2299</v>
      </c>
      <c r="E4" s="744" t="s">
        <v>2300</v>
      </c>
      <c r="F4" s="744" t="s">
        <v>379</v>
      </c>
      <c r="G4" s="744">
        <f>VLOOKUP(F4,[4]Sheet2!A:B,2,FALSE)</f>
        <v>101253</v>
      </c>
      <c r="H4" s="760">
        <v>101253</v>
      </c>
      <c r="I4" s="761"/>
    </row>
    <row r="5" spans="1:9" outlineLevel="2">
      <c r="A5" s="744">
        <v>3</v>
      </c>
      <c r="B5" s="744" t="s">
        <v>2302</v>
      </c>
      <c r="C5" s="744" t="s">
        <v>473</v>
      </c>
      <c r="D5" s="744" t="s">
        <v>2299</v>
      </c>
      <c r="E5" s="744" t="s">
        <v>2300</v>
      </c>
      <c r="F5" s="744" t="s">
        <v>374</v>
      </c>
      <c r="G5" s="744">
        <f>VLOOKUP(F5,[4]Sheet2!A:B,2,FALSE)</f>
        <v>106938</v>
      </c>
      <c r="H5" s="760">
        <v>106938</v>
      </c>
      <c r="I5" s="761"/>
    </row>
    <row r="6" spans="1:9" outlineLevel="2">
      <c r="A6" s="744">
        <v>4</v>
      </c>
      <c r="B6" s="744" t="s">
        <v>2303</v>
      </c>
      <c r="C6" s="744" t="s">
        <v>473</v>
      </c>
      <c r="D6" s="744" t="s">
        <v>2299</v>
      </c>
      <c r="E6" s="744" t="s">
        <v>2300</v>
      </c>
      <c r="F6" s="744" t="s">
        <v>374</v>
      </c>
      <c r="G6" s="744">
        <f>VLOOKUP(F6,[4]Sheet2!A:B,2,FALSE)</f>
        <v>106938</v>
      </c>
      <c r="H6" s="760">
        <v>106938</v>
      </c>
      <c r="I6" s="761"/>
    </row>
    <row r="7" spans="1:9" outlineLevel="2">
      <c r="A7" s="744">
        <v>5</v>
      </c>
      <c r="B7" s="744" t="s">
        <v>2304</v>
      </c>
      <c r="C7" s="744" t="s">
        <v>473</v>
      </c>
      <c r="D7" s="744" t="s">
        <v>2299</v>
      </c>
      <c r="E7" s="744" t="s">
        <v>2300</v>
      </c>
      <c r="F7" s="744" t="s">
        <v>374</v>
      </c>
      <c r="G7" s="744">
        <f>VLOOKUP(F7,[4]Sheet2!A:B,2,FALSE)</f>
        <v>106938</v>
      </c>
      <c r="H7" s="760">
        <v>106938</v>
      </c>
      <c r="I7" s="761"/>
    </row>
    <row r="8" spans="1:9" outlineLevel="2">
      <c r="A8" s="744">
        <v>6</v>
      </c>
      <c r="B8" s="744" t="s">
        <v>2305</v>
      </c>
      <c r="C8" s="744" t="s">
        <v>473</v>
      </c>
      <c r="D8" s="744" t="s">
        <v>2299</v>
      </c>
      <c r="E8" s="744" t="s">
        <v>2300</v>
      </c>
      <c r="F8" s="744" t="s">
        <v>374</v>
      </c>
      <c r="G8" s="744">
        <f>VLOOKUP(F8,[4]Sheet2!A:B,2,FALSE)</f>
        <v>106938</v>
      </c>
      <c r="H8" s="760">
        <v>106938</v>
      </c>
      <c r="I8" s="761"/>
    </row>
    <row r="9" spans="1:9" outlineLevel="2">
      <c r="A9" s="744">
        <v>7</v>
      </c>
      <c r="B9" s="744" t="s">
        <v>2306</v>
      </c>
      <c r="C9" s="744" t="s">
        <v>473</v>
      </c>
      <c r="D9" s="744" t="s">
        <v>2299</v>
      </c>
      <c r="E9" s="744" t="s">
        <v>2300</v>
      </c>
      <c r="F9" s="744" t="s">
        <v>374</v>
      </c>
      <c r="G9" s="744">
        <f>VLOOKUP(F9,[4]Sheet2!A:B,2,FALSE)</f>
        <v>106938</v>
      </c>
      <c r="H9" s="760">
        <v>106938</v>
      </c>
      <c r="I9" s="761"/>
    </row>
    <row r="10" spans="1:9" outlineLevel="1">
      <c r="A10" s="744"/>
      <c r="B10" s="744"/>
      <c r="C10" s="744"/>
      <c r="D10" s="746" t="s">
        <v>1200</v>
      </c>
      <c r="E10" s="744"/>
      <c r="F10" s="744"/>
      <c r="G10" s="744">
        <f>SUBTOTAL(9,G3:G9)</f>
        <v>728100</v>
      </c>
      <c r="H10" s="760">
        <f t="shared" ref="H10:I10" si="0">SUBTOTAL(9,H3:H9)</f>
        <v>728100</v>
      </c>
      <c r="I10" s="760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E18"/>
  <sheetViews>
    <sheetView workbookViewId="0">
      <selection activeCell="A19" sqref="A19:XFD33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781" customFormat="1" ht="20.25">
      <c r="A1" s="1059" t="s">
        <v>2360</v>
      </c>
      <c r="B1" s="1060"/>
      <c r="C1" s="1060"/>
      <c r="D1" s="1060"/>
      <c r="E1" s="1060"/>
    </row>
    <row r="2" spans="1:5" s="155" customFormat="1">
      <c r="A2" s="722" t="s">
        <v>2361</v>
      </c>
      <c r="B2" s="722" t="s">
        <v>2362</v>
      </c>
      <c r="C2" s="722" t="s">
        <v>2364</v>
      </c>
      <c r="D2" s="722" t="s">
        <v>2365</v>
      </c>
      <c r="E2" s="722" t="s">
        <v>2366</v>
      </c>
    </row>
    <row r="3" spans="1:5" outlineLevel="2">
      <c r="A3" s="722" t="s">
        <v>2363</v>
      </c>
      <c r="B3" s="267" t="s">
        <v>482</v>
      </c>
      <c r="C3" s="722">
        <v>110272.4</v>
      </c>
      <c r="D3" s="722">
        <v>130695.43</v>
      </c>
      <c r="E3" s="722">
        <f t="shared" ref="E3:E17" si="0">C3-D3</f>
        <v>-20423.03</v>
      </c>
    </row>
    <row r="4" spans="1:5" outlineLevel="2">
      <c r="A4" s="722" t="s">
        <v>2363</v>
      </c>
      <c r="B4" s="267" t="s">
        <v>2155</v>
      </c>
      <c r="C4" s="722">
        <v>101484.9</v>
      </c>
      <c r="D4" s="722">
        <v>124464.86</v>
      </c>
      <c r="E4" s="722">
        <f t="shared" si="0"/>
        <v>-22979.960000000006</v>
      </c>
    </row>
    <row r="5" spans="1:5" outlineLevel="2">
      <c r="A5" s="722" t="s">
        <v>2363</v>
      </c>
      <c r="B5" s="267" t="s">
        <v>2156</v>
      </c>
      <c r="C5" s="722">
        <v>149202.1</v>
      </c>
      <c r="D5" s="722">
        <v>177168.86</v>
      </c>
      <c r="E5" s="722">
        <f t="shared" si="0"/>
        <v>-27966.75999999998</v>
      </c>
    </row>
    <row r="6" spans="1:5" outlineLevel="2">
      <c r="A6" s="722" t="s">
        <v>2363</v>
      </c>
      <c r="B6" s="267" t="s">
        <v>2157</v>
      </c>
      <c r="C6" s="722">
        <v>123210.2</v>
      </c>
      <c r="D6" s="722">
        <v>141125.14000000001</v>
      </c>
      <c r="E6" s="722">
        <f t="shared" si="0"/>
        <v>-17914.940000000017</v>
      </c>
    </row>
    <row r="7" spans="1:5" outlineLevel="2">
      <c r="A7" s="722" t="s">
        <v>2363</v>
      </c>
      <c r="B7" s="267" t="s">
        <v>477</v>
      </c>
      <c r="C7" s="722"/>
      <c r="D7" s="722">
        <v>298581.43</v>
      </c>
      <c r="E7" s="722">
        <f t="shared" si="0"/>
        <v>-298581.43</v>
      </c>
    </row>
    <row r="8" spans="1:5" outlineLevel="2">
      <c r="A8" s="722" t="s">
        <v>2363</v>
      </c>
      <c r="B8" s="267" t="s">
        <v>924</v>
      </c>
      <c r="C8" s="722"/>
      <c r="D8" s="722">
        <v>597913.71</v>
      </c>
      <c r="E8" s="722">
        <f t="shared" si="0"/>
        <v>-597913.71</v>
      </c>
    </row>
    <row r="9" spans="1:5" outlineLevel="2">
      <c r="A9" s="722" t="s">
        <v>2363</v>
      </c>
      <c r="B9" s="267" t="s">
        <v>2158</v>
      </c>
      <c r="C9" s="722">
        <v>110137.3</v>
      </c>
      <c r="D9" s="722">
        <v>140605.71</v>
      </c>
      <c r="E9" s="722">
        <f t="shared" si="0"/>
        <v>-30468.409999999989</v>
      </c>
    </row>
    <row r="10" spans="1:5" outlineLevel="2">
      <c r="A10" s="722" t="s">
        <v>2363</v>
      </c>
      <c r="B10" s="267" t="s">
        <v>475</v>
      </c>
      <c r="C10" s="722">
        <v>22562</v>
      </c>
      <c r="D10" s="722">
        <v>268660.28999999998</v>
      </c>
      <c r="E10" s="722">
        <f t="shared" si="0"/>
        <v>-246098.28999999998</v>
      </c>
    </row>
    <row r="11" spans="1:5" outlineLevel="2">
      <c r="A11" s="722" t="s">
        <v>2363</v>
      </c>
      <c r="B11" s="267" t="s">
        <v>922</v>
      </c>
      <c r="C11" s="722">
        <v>213145.2</v>
      </c>
      <c r="D11" s="722">
        <v>262468.28999999998</v>
      </c>
      <c r="E11" s="722">
        <f t="shared" si="0"/>
        <v>-49323.089999999967</v>
      </c>
    </row>
    <row r="12" spans="1:5" outlineLevel="2">
      <c r="A12" s="722" t="s">
        <v>2363</v>
      </c>
      <c r="B12" s="267" t="s">
        <v>925</v>
      </c>
      <c r="C12" s="722">
        <v>340769.1</v>
      </c>
      <c r="D12" s="722">
        <v>400309.71</v>
      </c>
      <c r="E12" s="722">
        <f t="shared" si="0"/>
        <v>-59540.610000000044</v>
      </c>
    </row>
    <row r="13" spans="1:5" outlineLevel="2">
      <c r="A13" s="722" t="s">
        <v>2363</v>
      </c>
      <c r="B13" s="267" t="s">
        <v>923</v>
      </c>
      <c r="C13" s="722">
        <v>391140</v>
      </c>
      <c r="D13" s="722">
        <v>468797.14</v>
      </c>
      <c r="E13" s="722">
        <f t="shared" si="0"/>
        <v>-77657.140000000014</v>
      </c>
    </row>
    <row r="14" spans="1:5" outlineLevel="2">
      <c r="A14" s="722" t="s">
        <v>2363</v>
      </c>
      <c r="B14" s="267" t="s">
        <v>2159</v>
      </c>
      <c r="C14" s="722">
        <v>148875.29999999999</v>
      </c>
      <c r="D14" s="722">
        <v>222534</v>
      </c>
      <c r="E14" s="722">
        <f t="shared" si="0"/>
        <v>-73658.700000000012</v>
      </c>
    </row>
    <row r="15" spans="1:5" outlineLevel="2">
      <c r="A15" s="722" t="s">
        <v>2363</v>
      </c>
      <c r="B15" s="267" t="s">
        <v>2160</v>
      </c>
      <c r="C15" s="722">
        <v>72295.8</v>
      </c>
      <c r="D15" s="722">
        <v>77207.14</v>
      </c>
      <c r="E15" s="722">
        <f t="shared" si="0"/>
        <v>-4911.3399999999965</v>
      </c>
    </row>
    <row r="16" spans="1:5" outlineLevel="2">
      <c r="A16" s="722" t="s">
        <v>2363</v>
      </c>
      <c r="B16" s="267" t="s">
        <v>2161</v>
      </c>
      <c r="C16" s="722">
        <v>22399</v>
      </c>
      <c r="D16" s="722">
        <v>45174.86</v>
      </c>
      <c r="E16" s="722">
        <f t="shared" si="0"/>
        <v>-22775.86</v>
      </c>
    </row>
    <row r="17" spans="1:5" outlineLevel="2">
      <c r="A17" s="722" t="s">
        <v>2363</v>
      </c>
      <c r="B17" s="722" t="s">
        <v>617</v>
      </c>
      <c r="C17" s="722">
        <v>14845.7</v>
      </c>
      <c r="D17" s="722">
        <v>18018</v>
      </c>
      <c r="E17" s="722">
        <f t="shared" si="0"/>
        <v>-3172.2999999999993</v>
      </c>
    </row>
    <row r="18" spans="1:5" s="155" customFormat="1" outlineLevel="1">
      <c r="A18" s="753" t="s">
        <v>567</v>
      </c>
      <c r="B18" s="722"/>
      <c r="C18" s="722">
        <f>SUBTOTAL(9,C3:C17)</f>
        <v>1820339.0000000002</v>
      </c>
      <c r="D18" s="722">
        <f>SUBTOTAL(9,D3:D17)</f>
        <v>3373724.57</v>
      </c>
      <c r="E18" s="722">
        <f>SUBTOTAL(9,E3:E17)</f>
        <v>-1553385.5700000003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J22"/>
  <sheetViews>
    <sheetView workbookViewId="0">
      <selection activeCell="A18" sqref="A18:XFD33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25" t="s">
        <v>2268</v>
      </c>
      <c r="B1" s="825"/>
      <c r="C1" s="825"/>
      <c r="D1" s="825"/>
      <c r="E1" s="825"/>
      <c r="F1" s="825"/>
      <c r="G1" s="825"/>
      <c r="H1" s="825"/>
      <c r="I1" s="825"/>
      <c r="J1" s="825"/>
    </row>
    <row r="2" spans="1:10">
      <c r="A2" s="1062" t="s">
        <v>1</v>
      </c>
      <c r="B2" s="1063" t="s">
        <v>366</v>
      </c>
      <c r="C2" s="1063" t="s">
        <v>2</v>
      </c>
      <c r="D2" s="1063" t="s">
        <v>691</v>
      </c>
      <c r="E2" s="1063" t="s">
        <v>692</v>
      </c>
      <c r="F2" s="1063" t="s">
        <v>2267</v>
      </c>
      <c r="G2" s="1063" t="s">
        <v>695</v>
      </c>
      <c r="H2" s="1063" t="s">
        <v>694</v>
      </c>
      <c r="I2" s="1063" t="s">
        <v>696</v>
      </c>
      <c r="J2" s="1061" t="s">
        <v>25</v>
      </c>
    </row>
    <row r="3" spans="1:10">
      <c r="A3" s="1062"/>
      <c r="B3" s="1063"/>
      <c r="C3" s="1063"/>
      <c r="D3" s="1063"/>
      <c r="E3" s="1063"/>
      <c r="F3" s="1063"/>
      <c r="G3" s="1063"/>
      <c r="H3" s="1063"/>
      <c r="I3" s="1063"/>
      <c r="J3" s="1061"/>
    </row>
    <row r="4" spans="1:10" s="161" customFormat="1" ht="18" customHeight="1">
      <c r="A4" s="722">
        <v>1</v>
      </c>
      <c r="B4" s="727" t="s">
        <v>336</v>
      </c>
      <c r="C4" s="726" t="s">
        <v>2269</v>
      </c>
      <c r="D4" s="728" t="s">
        <v>2270</v>
      </c>
      <c r="E4" s="728" t="s">
        <v>2271</v>
      </c>
      <c r="F4" s="725"/>
      <c r="G4" s="722">
        <v>300000</v>
      </c>
      <c r="H4" s="722">
        <v>1</v>
      </c>
      <c r="I4" s="723">
        <f t="shared" ref="I4:I16" si="0">G4*H4</f>
        <v>300000</v>
      </c>
      <c r="J4" s="722"/>
    </row>
    <row r="5" spans="1:10" s="161" customFormat="1" ht="18" customHeight="1">
      <c r="A5" s="722">
        <v>1</v>
      </c>
      <c r="B5" s="727" t="s">
        <v>336</v>
      </c>
      <c r="C5" s="726" t="s">
        <v>2269</v>
      </c>
      <c r="D5" s="728" t="s">
        <v>2272</v>
      </c>
      <c r="E5" s="728" t="s">
        <v>2272</v>
      </c>
      <c r="F5" s="725"/>
      <c r="G5" s="722">
        <v>300000</v>
      </c>
      <c r="H5" s="722">
        <v>1</v>
      </c>
      <c r="I5" s="723">
        <f t="shared" si="0"/>
        <v>300000</v>
      </c>
      <c r="J5" s="722"/>
    </row>
    <row r="6" spans="1:10" s="161" customFormat="1" ht="18" customHeight="1">
      <c r="A6" s="722">
        <v>1</v>
      </c>
      <c r="B6" s="727" t="s">
        <v>2278</v>
      </c>
      <c r="C6" s="726" t="s">
        <v>2269</v>
      </c>
      <c r="D6" s="728" t="s">
        <v>2272</v>
      </c>
      <c r="E6" s="728" t="s">
        <v>2272</v>
      </c>
      <c r="F6" s="725"/>
      <c r="G6" s="722">
        <v>950000</v>
      </c>
      <c r="H6" s="722">
        <v>1</v>
      </c>
      <c r="I6" s="723">
        <f t="shared" si="0"/>
        <v>950000</v>
      </c>
      <c r="J6" s="722"/>
    </row>
    <row r="7" spans="1:10" s="161" customFormat="1" ht="18" customHeight="1">
      <c r="A7" s="722">
        <v>1</v>
      </c>
      <c r="B7" s="727" t="s">
        <v>336</v>
      </c>
      <c r="C7" s="726" t="s">
        <v>2269</v>
      </c>
      <c r="D7" s="728" t="s">
        <v>2273</v>
      </c>
      <c r="E7" s="728" t="s">
        <v>2273</v>
      </c>
      <c r="F7" s="725"/>
      <c r="G7" s="722">
        <v>200000</v>
      </c>
      <c r="H7" s="722">
        <v>1</v>
      </c>
      <c r="I7" s="723">
        <f t="shared" si="0"/>
        <v>200000</v>
      </c>
      <c r="J7" s="722"/>
    </row>
    <row r="8" spans="1:10" s="161" customFormat="1" ht="18" customHeight="1">
      <c r="A8" s="722">
        <v>2</v>
      </c>
      <c r="B8" s="727" t="s">
        <v>337</v>
      </c>
      <c r="C8" s="726" t="s">
        <v>2269</v>
      </c>
      <c r="D8" s="728" t="s">
        <v>2270</v>
      </c>
      <c r="E8" s="728" t="s">
        <v>2271</v>
      </c>
      <c r="F8" s="725"/>
      <c r="G8" s="722">
        <v>300000</v>
      </c>
      <c r="H8" s="722">
        <v>1</v>
      </c>
      <c r="I8" s="723">
        <f t="shared" si="0"/>
        <v>300000</v>
      </c>
      <c r="J8" s="722"/>
    </row>
    <row r="9" spans="1:10" s="161" customFormat="1" ht="18" customHeight="1">
      <c r="A9" s="722">
        <v>2</v>
      </c>
      <c r="B9" s="727" t="s">
        <v>337</v>
      </c>
      <c r="C9" s="726" t="s">
        <v>2269</v>
      </c>
      <c r="D9" s="728" t="s">
        <v>2272</v>
      </c>
      <c r="E9" s="728" t="s">
        <v>2272</v>
      </c>
      <c r="F9" s="725"/>
      <c r="G9" s="722">
        <v>300000</v>
      </c>
      <c r="H9" s="722">
        <v>1</v>
      </c>
      <c r="I9" s="723">
        <f t="shared" si="0"/>
        <v>300000</v>
      </c>
      <c r="J9" s="722"/>
    </row>
    <row r="10" spans="1:10" s="161" customFormat="1" ht="18" customHeight="1">
      <c r="A10" s="722">
        <v>2</v>
      </c>
      <c r="B10" s="727" t="s">
        <v>337</v>
      </c>
      <c r="C10" s="726" t="s">
        <v>2269</v>
      </c>
      <c r="D10" s="728" t="s">
        <v>2273</v>
      </c>
      <c r="E10" s="728" t="s">
        <v>2273</v>
      </c>
      <c r="F10" s="725"/>
      <c r="G10" s="722">
        <v>200000</v>
      </c>
      <c r="H10" s="722">
        <v>1</v>
      </c>
      <c r="I10" s="723">
        <f t="shared" si="0"/>
        <v>200000</v>
      </c>
      <c r="J10" s="722"/>
    </row>
    <row r="11" spans="1:10" s="161" customFormat="1" ht="18" customHeight="1">
      <c r="A11" s="722">
        <v>3</v>
      </c>
      <c r="B11" s="727" t="s">
        <v>346</v>
      </c>
      <c r="C11" s="726" t="s">
        <v>2269</v>
      </c>
      <c r="D11" s="728" t="s">
        <v>2270</v>
      </c>
      <c r="E11" s="728" t="s">
        <v>2271</v>
      </c>
      <c r="F11" s="725"/>
      <c r="G11" s="722">
        <v>300000</v>
      </c>
      <c r="H11" s="722">
        <v>1</v>
      </c>
      <c r="I11" s="723">
        <f t="shared" si="0"/>
        <v>300000</v>
      </c>
      <c r="J11" s="722"/>
    </row>
    <row r="12" spans="1:10" s="161" customFormat="1" ht="18" customHeight="1">
      <c r="A12" s="722">
        <v>3</v>
      </c>
      <c r="B12" s="727" t="s">
        <v>346</v>
      </c>
      <c r="C12" s="726" t="s">
        <v>2269</v>
      </c>
      <c r="D12" s="728" t="s">
        <v>2272</v>
      </c>
      <c r="E12" s="728" t="s">
        <v>2272</v>
      </c>
      <c r="F12" s="725"/>
      <c r="G12" s="722">
        <v>300000</v>
      </c>
      <c r="H12" s="722">
        <v>1</v>
      </c>
      <c r="I12" s="723">
        <f t="shared" si="0"/>
        <v>300000</v>
      </c>
      <c r="J12" s="722"/>
    </row>
    <row r="13" spans="1:10" s="161" customFormat="1" ht="18" customHeight="1">
      <c r="A13" s="722">
        <v>3</v>
      </c>
      <c r="B13" s="727" t="s">
        <v>346</v>
      </c>
      <c r="C13" s="726" t="s">
        <v>2269</v>
      </c>
      <c r="D13" s="728" t="s">
        <v>2273</v>
      </c>
      <c r="E13" s="728" t="s">
        <v>2273</v>
      </c>
      <c r="F13" s="725"/>
      <c r="G13" s="722">
        <v>200000</v>
      </c>
      <c r="H13" s="722">
        <v>1</v>
      </c>
      <c r="I13" s="723">
        <f t="shared" si="0"/>
        <v>200000</v>
      </c>
      <c r="J13" s="722"/>
    </row>
    <row r="14" spans="1:10" s="161" customFormat="1" ht="18" customHeight="1">
      <c r="A14" s="722">
        <v>4</v>
      </c>
      <c r="B14" s="727" t="s">
        <v>2274</v>
      </c>
      <c r="C14" s="726" t="s">
        <v>2269</v>
      </c>
      <c r="D14" s="728" t="s">
        <v>2270</v>
      </c>
      <c r="E14" s="728" t="s">
        <v>2271</v>
      </c>
      <c r="F14" s="725"/>
      <c r="G14" s="722">
        <v>300000</v>
      </c>
      <c r="H14" s="722">
        <v>1</v>
      </c>
      <c r="I14" s="723">
        <f t="shared" si="0"/>
        <v>300000</v>
      </c>
      <c r="J14" s="722"/>
    </row>
    <row r="15" spans="1:10" s="161" customFormat="1" ht="18" customHeight="1">
      <c r="A15" s="722">
        <v>4</v>
      </c>
      <c r="B15" s="727" t="s">
        <v>2274</v>
      </c>
      <c r="C15" s="726" t="s">
        <v>2269</v>
      </c>
      <c r="D15" s="728" t="s">
        <v>2272</v>
      </c>
      <c r="E15" s="728" t="s">
        <v>2272</v>
      </c>
      <c r="F15" s="725"/>
      <c r="G15" s="722">
        <v>300000</v>
      </c>
      <c r="H15" s="722">
        <v>1</v>
      </c>
      <c r="I15" s="723">
        <f t="shared" si="0"/>
        <v>300000</v>
      </c>
      <c r="J15" s="722"/>
    </row>
    <row r="16" spans="1:10" s="161" customFormat="1" ht="18" customHeight="1">
      <c r="A16" s="722">
        <v>4</v>
      </c>
      <c r="B16" s="727" t="s">
        <v>2274</v>
      </c>
      <c r="C16" s="726" t="s">
        <v>2269</v>
      </c>
      <c r="D16" s="728" t="s">
        <v>2273</v>
      </c>
      <c r="E16" s="728" t="s">
        <v>2273</v>
      </c>
      <c r="F16" s="725"/>
      <c r="G16" s="722">
        <v>200000</v>
      </c>
      <c r="H16" s="722">
        <v>1</v>
      </c>
      <c r="I16" s="723">
        <f t="shared" si="0"/>
        <v>200000</v>
      </c>
      <c r="J16" s="722"/>
    </row>
    <row r="17" spans="1:10" s="161" customFormat="1" ht="18" customHeight="1">
      <c r="A17" s="722"/>
      <c r="B17" s="725"/>
      <c r="C17" s="724" t="s">
        <v>1320</v>
      </c>
      <c r="D17" s="725"/>
      <c r="E17" s="725"/>
      <c r="F17" s="725"/>
      <c r="G17" s="722"/>
      <c r="H17" s="722"/>
      <c r="I17" s="723">
        <f>SUM(I4:I16)</f>
        <v>4150000</v>
      </c>
      <c r="J17" s="722"/>
    </row>
    <row r="18" spans="1:10" s="161" customFormat="1" ht="11.25"/>
    <row r="19" spans="1:10" s="161" customFormat="1" ht="11.25"/>
    <row r="20" spans="1:10" s="161" customFormat="1" ht="11.25"/>
    <row r="21" spans="1:10" s="161" customFormat="1" ht="11.25"/>
    <row r="22" spans="1:10" s="161" customFormat="1" ht="11.25"/>
  </sheetData>
  <autoFilter ref="A2:J17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A8" sqref="A8:XFD20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34" t="s">
        <v>2275</v>
      </c>
      <c r="B1" s="1035"/>
      <c r="C1" s="1035"/>
      <c r="D1" s="1035"/>
      <c r="E1" s="1035"/>
      <c r="F1" s="1035"/>
      <c r="G1" s="1035"/>
      <c r="H1" s="1035"/>
      <c r="I1" s="1035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2277</v>
      </c>
      <c r="B3" s="730" t="s">
        <v>336</v>
      </c>
      <c r="C3" s="731" t="s">
        <v>2276</v>
      </c>
      <c r="D3" s="731" t="s">
        <v>2276</v>
      </c>
      <c r="E3" s="731" t="s">
        <v>2276</v>
      </c>
      <c r="F3" s="664">
        <v>1</v>
      </c>
      <c r="G3" s="662">
        <v>200000</v>
      </c>
      <c r="H3" s="662">
        <f t="shared" ref="H3:H6" si="0">F3*G3</f>
        <v>200000</v>
      </c>
      <c r="I3" s="729"/>
    </row>
    <row r="4" spans="1:9" s="161" customFormat="1" ht="20.100000000000001" customHeight="1" outlineLevel="2">
      <c r="A4" s="662" t="s">
        <v>2277</v>
      </c>
      <c r="B4" s="730" t="s">
        <v>337</v>
      </c>
      <c r="C4" s="731" t="s">
        <v>2276</v>
      </c>
      <c r="D4" s="731" t="s">
        <v>2276</v>
      </c>
      <c r="E4" s="731" t="s">
        <v>2276</v>
      </c>
      <c r="F4" s="664">
        <v>1</v>
      </c>
      <c r="G4" s="662">
        <v>200000</v>
      </c>
      <c r="H4" s="662">
        <f t="shared" si="0"/>
        <v>200000</v>
      </c>
      <c r="I4" s="729"/>
    </row>
    <row r="5" spans="1:9" s="161" customFormat="1" ht="20.100000000000001" customHeight="1" outlineLevel="2">
      <c r="A5" s="662" t="s">
        <v>2277</v>
      </c>
      <c r="B5" s="730" t="s">
        <v>346</v>
      </c>
      <c r="C5" s="731" t="s">
        <v>2276</v>
      </c>
      <c r="D5" s="731" t="s">
        <v>2276</v>
      </c>
      <c r="E5" s="731" t="s">
        <v>2276</v>
      </c>
      <c r="F5" s="664">
        <v>1</v>
      </c>
      <c r="G5" s="662">
        <v>200000</v>
      </c>
      <c r="H5" s="662">
        <f t="shared" si="0"/>
        <v>200000</v>
      </c>
      <c r="I5" s="729"/>
    </row>
    <row r="6" spans="1:9" s="161" customFormat="1" ht="20.100000000000001" customHeight="1" outlineLevel="2">
      <c r="A6" s="662" t="s">
        <v>2277</v>
      </c>
      <c r="B6" s="730" t="s">
        <v>2274</v>
      </c>
      <c r="C6" s="731" t="s">
        <v>2276</v>
      </c>
      <c r="D6" s="731" t="s">
        <v>2276</v>
      </c>
      <c r="E6" s="731" t="s">
        <v>2276</v>
      </c>
      <c r="F6" s="664">
        <v>1</v>
      </c>
      <c r="G6" s="662">
        <v>200000</v>
      </c>
      <c r="H6" s="662">
        <f t="shared" si="0"/>
        <v>200000</v>
      </c>
      <c r="I6" s="729"/>
    </row>
    <row r="7" spans="1:9" s="161" customFormat="1" ht="20.100000000000001" customHeight="1" outlineLevel="1">
      <c r="A7" s="662" t="s">
        <v>567</v>
      </c>
      <c r="B7" s="730"/>
      <c r="C7" s="731"/>
      <c r="D7" s="731"/>
      <c r="E7" s="731"/>
      <c r="F7" s="664"/>
      <c r="G7" s="662"/>
      <c r="H7" s="662">
        <f>SUBTOTAL(9,H3:H6)</f>
        <v>800000</v>
      </c>
      <c r="I7" s="729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A8" sqref="A8:XFD20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34" t="s">
        <v>2080</v>
      </c>
      <c r="B1" s="1035"/>
      <c r="C1" s="1035"/>
      <c r="D1" s="1035"/>
      <c r="E1" s="1035"/>
      <c r="F1" s="1035"/>
      <c r="G1" s="1035"/>
      <c r="H1" s="1035"/>
      <c r="I1" s="1035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2277</v>
      </c>
      <c r="B3" s="730" t="s">
        <v>336</v>
      </c>
      <c r="C3" s="731" t="s">
        <v>2279</v>
      </c>
      <c r="D3" s="731" t="s">
        <v>2279</v>
      </c>
      <c r="E3" s="731" t="s">
        <v>2279</v>
      </c>
      <c r="F3" s="664">
        <v>1</v>
      </c>
      <c r="G3" s="662">
        <v>500000</v>
      </c>
      <c r="H3" s="662">
        <f t="shared" ref="H3:H6" si="0">F3*G3</f>
        <v>500000</v>
      </c>
      <c r="I3" s="729"/>
    </row>
    <row r="4" spans="1:9" s="161" customFormat="1" ht="20.100000000000001" customHeight="1" outlineLevel="2">
      <c r="A4" s="662" t="s">
        <v>2277</v>
      </c>
      <c r="B4" s="730" t="s">
        <v>337</v>
      </c>
      <c r="C4" s="731" t="s">
        <v>2279</v>
      </c>
      <c r="D4" s="731" t="s">
        <v>2279</v>
      </c>
      <c r="E4" s="731" t="s">
        <v>2279</v>
      </c>
      <c r="F4" s="664">
        <v>1</v>
      </c>
      <c r="G4" s="662">
        <v>500000</v>
      </c>
      <c r="H4" s="662">
        <f t="shared" si="0"/>
        <v>500000</v>
      </c>
      <c r="I4" s="729"/>
    </row>
    <row r="5" spans="1:9" s="161" customFormat="1" ht="20.100000000000001" customHeight="1" outlineLevel="2">
      <c r="A5" s="662" t="s">
        <v>2277</v>
      </c>
      <c r="B5" s="730" t="s">
        <v>346</v>
      </c>
      <c r="C5" s="731" t="s">
        <v>2279</v>
      </c>
      <c r="D5" s="731" t="s">
        <v>2279</v>
      </c>
      <c r="E5" s="731" t="s">
        <v>2279</v>
      </c>
      <c r="F5" s="664">
        <v>1</v>
      </c>
      <c r="G5" s="662">
        <v>500000</v>
      </c>
      <c r="H5" s="662">
        <f t="shared" si="0"/>
        <v>500000</v>
      </c>
      <c r="I5" s="729"/>
    </row>
    <row r="6" spans="1:9" s="161" customFormat="1" ht="20.100000000000001" customHeight="1" outlineLevel="2">
      <c r="A6" s="662" t="s">
        <v>2277</v>
      </c>
      <c r="B6" s="730" t="s">
        <v>2274</v>
      </c>
      <c r="C6" s="731" t="s">
        <v>2279</v>
      </c>
      <c r="D6" s="731" t="s">
        <v>2279</v>
      </c>
      <c r="E6" s="731" t="s">
        <v>2279</v>
      </c>
      <c r="F6" s="664">
        <v>1</v>
      </c>
      <c r="G6" s="662">
        <v>500000</v>
      </c>
      <c r="H6" s="662">
        <f t="shared" si="0"/>
        <v>500000</v>
      </c>
      <c r="I6" s="729"/>
    </row>
    <row r="7" spans="1:9" s="161" customFormat="1" ht="20.100000000000001" customHeight="1" outlineLevel="1">
      <c r="A7" s="662" t="s">
        <v>567</v>
      </c>
      <c r="B7" s="730"/>
      <c r="C7" s="731"/>
      <c r="D7" s="731"/>
      <c r="E7" s="731"/>
      <c r="F7" s="664"/>
      <c r="G7" s="662"/>
      <c r="H7" s="662">
        <f>SUBTOTAL(9,H3:H6)</f>
        <v>2000000</v>
      </c>
      <c r="I7" s="729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>
  <dimension ref="A1:O4"/>
  <sheetViews>
    <sheetView workbookViewId="0">
      <selection activeCell="B6" sqref="B6"/>
    </sheetView>
  </sheetViews>
  <sheetFormatPr defaultColWidth="9" defaultRowHeight="13.5"/>
  <cols>
    <col min="1" max="1" width="6.5" style="624" customWidth="1"/>
    <col min="2" max="2" width="24.375" style="624" customWidth="1"/>
    <col min="3" max="3" width="8.875" style="598" customWidth="1"/>
    <col min="4" max="4" width="10.375" style="624" customWidth="1"/>
    <col min="5" max="5" width="13" style="624" customWidth="1"/>
    <col min="6" max="6" width="10" style="625" customWidth="1"/>
    <col min="7" max="7" width="10.75" style="625" customWidth="1"/>
    <col min="8" max="8" width="13.125" style="625" customWidth="1"/>
    <col min="9" max="9" width="9.375" style="625" customWidth="1"/>
    <col min="10" max="10" width="26.625" style="155" hidden="1" customWidth="1"/>
    <col min="11" max="11" width="12" style="155" customWidth="1"/>
    <col min="12" max="12" width="12.125" style="155" customWidth="1"/>
    <col min="13" max="13" width="11.375" style="155" customWidth="1"/>
    <col min="14" max="14" width="11.875" style="155" customWidth="1"/>
    <col min="15" max="15" width="17.125" style="155" customWidth="1"/>
    <col min="16" max="16384" width="9" style="155"/>
  </cols>
  <sheetData>
    <row r="1" spans="1:15" ht="30" customHeight="1">
      <c r="A1" s="990" t="s">
        <v>2292</v>
      </c>
      <c r="B1" s="990"/>
      <c r="C1" s="990"/>
      <c r="D1" s="990"/>
      <c r="E1" s="990"/>
      <c r="F1" s="990"/>
      <c r="G1" s="990"/>
      <c r="H1" s="990"/>
      <c r="I1" s="990"/>
      <c r="J1" s="990"/>
      <c r="K1" s="990"/>
      <c r="L1" s="990"/>
      <c r="M1" s="990"/>
      <c r="N1" s="990"/>
      <c r="O1" s="795"/>
    </row>
    <row r="2" spans="1:15" s="598" customFormat="1" ht="45.75" customHeight="1">
      <c r="A2" s="733" t="s">
        <v>1</v>
      </c>
      <c r="B2" s="734" t="s">
        <v>2</v>
      </c>
      <c r="C2" s="734" t="s">
        <v>1815</v>
      </c>
      <c r="D2" s="735" t="s">
        <v>2282</v>
      </c>
      <c r="E2" s="735" t="s">
        <v>1679</v>
      </c>
      <c r="F2" s="735" t="s">
        <v>1816</v>
      </c>
      <c r="G2" s="735" t="s">
        <v>2283</v>
      </c>
      <c r="H2" s="735" t="s">
        <v>2284</v>
      </c>
      <c r="I2" s="735" t="s">
        <v>2285</v>
      </c>
      <c r="J2" s="735" t="s">
        <v>2286</v>
      </c>
      <c r="K2" s="735" t="s">
        <v>1820</v>
      </c>
      <c r="L2" s="735" t="s">
        <v>2287</v>
      </c>
      <c r="M2" s="735" t="s">
        <v>2290</v>
      </c>
      <c r="N2" s="736" t="s">
        <v>2289</v>
      </c>
      <c r="O2" s="736" t="s">
        <v>2291</v>
      </c>
    </row>
    <row r="3" spans="1:15" ht="30" customHeight="1">
      <c r="A3" s="737">
        <v>1</v>
      </c>
      <c r="B3" s="738" t="s">
        <v>1837</v>
      </c>
      <c r="C3" s="737" t="s">
        <v>2261</v>
      </c>
      <c r="D3" s="737" t="s">
        <v>382</v>
      </c>
      <c r="E3" s="738" t="s">
        <v>1839</v>
      </c>
      <c r="F3" s="737">
        <v>26</v>
      </c>
      <c r="G3" s="737">
        <v>14006</v>
      </c>
      <c r="H3" s="737">
        <v>8932</v>
      </c>
      <c r="I3" s="737">
        <v>4903</v>
      </c>
      <c r="J3" s="739" t="s">
        <v>2288</v>
      </c>
      <c r="K3" s="737">
        <v>221436</v>
      </c>
      <c r="L3" s="737">
        <v>24515</v>
      </c>
      <c r="M3" s="737">
        <f t="shared" ref="M3" si="0">K3+L3</f>
        <v>245951</v>
      </c>
      <c r="N3" s="732">
        <f>M3</f>
        <v>245951</v>
      </c>
      <c r="O3" s="741">
        <f>N3*0.25</f>
        <v>61487.75</v>
      </c>
    </row>
    <row r="4" spans="1:15" s="79" customFormat="1" ht="30" customHeight="1">
      <c r="A4" s="737"/>
      <c r="B4" s="737"/>
      <c r="C4" s="737"/>
      <c r="D4" s="737"/>
      <c r="E4" s="737" t="s">
        <v>24</v>
      </c>
      <c r="F4" s="742">
        <f>SUM(F3:F3)</f>
        <v>26</v>
      </c>
      <c r="G4" s="742">
        <f>SUM(G3:G3)</f>
        <v>14006</v>
      </c>
      <c r="H4" s="742">
        <f>SUM(H3:H3)</f>
        <v>8932</v>
      </c>
      <c r="I4" s="742">
        <f>SUM(I3:I3)</f>
        <v>4903</v>
      </c>
      <c r="J4" s="740"/>
      <c r="K4" s="742">
        <f>SUM(K3:K3)</f>
        <v>221436</v>
      </c>
      <c r="L4" s="742">
        <f>SUM(L3:L3)</f>
        <v>24515</v>
      </c>
      <c r="M4" s="742">
        <f>SUM(M3:M3)</f>
        <v>245951</v>
      </c>
      <c r="N4" s="743">
        <f>SUM(N3:N3)</f>
        <v>245951</v>
      </c>
      <c r="O4" s="743">
        <f>SUM(O3:O3)</f>
        <v>61487.75</v>
      </c>
    </row>
  </sheetData>
  <mergeCells count="1">
    <mergeCell ref="A1:O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52</vt:i4>
      </vt:variant>
      <vt:variant>
        <vt:lpstr>命名范围</vt:lpstr>
      </vt:variant>
      <vt:variant>
        <vt:i4>67</vt:i4>
      </vt:variant>
    </vt:vector>
  </HeadingPairs>
  <TitlesOfParts>
    <vt:vector size="119" baseType="lpstr">
      <vt:lpstr>颛桥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颛桥基本支出调整</vt:lpstr>
      <vt:lpstr>2023年绩效预估</vt:lpstr>
      <vt:lpstr>2023尾款清算</vt:lpstr>
      <vt:lpstr>补充公用经费调整</vt:lpstr>
      <vt:lpstr>抚恤金调整</vt:lpstr>
      <vt:lpstr>储备教师</vt:lpstr>
      <vt:lpstr>残疾就业保障调整</vt:lpstr>
      <vt:lpstr>追加设备</vt:lpstr>
      <vt:lpstr>普教一科追加</vt:lpstr>
      <vt:lpstr>普教二科追加</vt:lpstr>
      <vt:lpstr>未开办学校物业管理（区级代管）</vt:lpstr>
      <vt:lpstr>'2022年绩效清算'!Print_Area</vt:lpstr>
      <vt:lpstr>'2022年校舍维修尾款'!Print_Area</vt:lpstr>
      <vt:lpstr>'2023年绩效预估'!Print_Area</vt:lpstr>
      <vt:lpstr>'2023尾款清算'!Print_Area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'未开办学校物业管理（区级代管）'!Print_Area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颛桥基本支出调整!Print_Area</vt:lpstr>
      <vt:lpstr>颛桥维修2023!Print_Area</vt:lpstr>
      <vt:lpstr>追加设备!Print_Area</vt:lpstr>
      <vt:lpstr>'2022年绩效清算'!Print_Titles</vt:lpstr>
      <vt:lpstr>'2023年绩效预估'!Print_Titles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吴泾维修2023!Print_Titles</vt:lpstr>
      <vt:lpstr>学前科!Print_Titles</vt:lpstr>
      <vt:lpstr>颛桥基本支出调整!Print_Titles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2023-11-01T01:07:51Z</cp:lastPrinted>
  <dcterms:created xsi:type="dcterms:W3CDTF">2022-11-10T02:18:00Z</dcterms:created>
  <dcterms:modified xsi:type="dcterms:W3CDTF">2023-11-03T07:53:19Z</dcterms:modified>
</cp:coreProperties>
</file>