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华漕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华漕基本支出调整" sheetId="57" state="hidden" r:id="rId42"/>
    <sheet name="2023年绩效预估" sheetId="66" state="hidden" r:id="rId43"/>
    <sheet name="保安经费调整" sheetId="64" state="hidden" r:id="rId44"/>
    <sheet name="补充公用经费调整" sheetId="62" state="hidden" r:id="rId45"/>
    <sheet name="抚恤金调整" sheetId="60" state="hidden" r:id="rId46"/>
    <sheet name="储备教师" sheetId="50" state="hidden" r:id="rId47"/>
    <sheet name="残疾就业保障调整" sheetId="61" state="hidden" r:id="rId48"/>
    <sheet name="追加设备" sheetId="45" state="hidden" r:id="rId49"/>
    <sheet name="普教一科追加" sheetId="46" state="hidden" r:id="rId50"/>
    <sheet name="普教二科追加" sheetId="47" state="hidden" r:id="rId51"/>
  </sheets>
  <externalReferences>
    <externalReference r:id="rId52"/>
    <externalReference r:id="rId53"/>
    <externalReference r:id="rId54"/>
  </externalReferences>
  <definedNames>
    <definedName name="_xlnm._FilterDatabase" localSheetId="12" hidden="1">'2023绩效预估'!$A$2:$H$126</definedName>
    <definedName name="_xlnm._FilterDatabase" localSheetId="44" hidden="1">补充公用经费调整!$B$2:$AV$11</definedName>
    <definedName name="_xlnm._FilterDatabase" localSheetId="48" hidden="1">追加设备!$A$2:$J$13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'2023年绩效预估'!$A$1:$J$11</definedName>
    <definedName name="_xlnm.Print_Area" localSheetId="43">保安经费调整!$A$1:$N$22</definedName>
    <definedName name="_xlnm.Print_Area" localSheetId="40">补充公用经费补!$A$1:$AQ$119</definedName>
    <definedName name="_xlnm.Print_Area" localSheetId="44">补充公用经费调整!$A$1:$AW$11</definedName>
    <definedName name="_xlnm.Print_Area" localSheetId="47">残疾就业保障调整!$A$1:$E$11</definedName>
    <definedName name="_xlnm.Print_Area" localSheetId="46">储备教师!$A$1:$I$8</definedName>
    <definedName name="_xlnm.Print_Area" localSheetId="45">抚恤金调整!$A$1:$F$7</definedName>
    <definedName name="_xlnm.Print_Area" localSheetId="25">虹桥维修2023!$A$1:$K$41</definedName>
    <definedName name="_xlnm.Print_Area" localSheetId="41">华漕基本支出调整!$A$1:$O$78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0">普教二科追加!$A$1:$I$6</definedName>
    <definedName name="_xlnm.Print_Area" localSheetId="28">普教一科!$A$1:$G$110</definedName>
    <definedName name="_xlnm.Print_Area" localSheetId="49">普教一科追加!$A$1:$I$6</definedName>
    <definedName name="_xlnm.Print_Area" localSheetId="19">七宝维修2023!$A$1:$J$159</definedName>
    <definedName name="_xlnm.Print_Area" localSheetId="16">设备购置与更新!$A$1:$L$69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8">追加设备!$A$1:$J$13</definedName>
    <definedName name="_xlnm.Print_Titles" localSheetId="2">'2022年绩效清算'!$1:$3</definedName>
    <definedName name="_xlnm.Print_Titles" localSheetId="42">'2023年绩效预估'!$1:$2</definedName>
    <definedName name="_xlnm.Print_Titles" localSheetId="43">保安经费调整!$1:$2</definedName>
    <definedName name="_xlnm.Print_Titles" localSheetId="40">补充公用经费补!$1:$3</definedName>
    <definedName name="_xlnm.Print_Titles" localSheetId="44">补充公用经费调整!$1:$3</definedName>
    <definedName name="_xlnm.Print_Titles" localSheetId="47">残疾就业保障调整!$1:$2</definedName>
    <definedName name="_xlnm.Print_Titles" localSheetId="46">储备教师!$1:$2</definedName>
    <definedName name="_xlnm.Print_Titles" localSheetId="45">抚恤金调整!$1:$2</definedName>
    <definedName name="_xlnm.Print_Titles" localSheetId="25">虹桥维修2023!$1:$2</definedName>
    <definedName name="_xlnm.Print_Titles" localSheetId="41">华漕基本支出调整!$1:$2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0">普教二科追加!$1:$2</definedName>
    <definedName name="_xlnm.Print_Titles" localSheetId="28">普教一科!$1:$2</definedName>
    <definedName name="_xlnm.Print_Titles" localSheetId="49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8">追加设备!$1:$3</definedName>
  </definedNames>
  <calcPr calcId="124519"/>
</workbook>
</file>

<file path=xl/calcChain.xml><?xml version="1.0" encoding="utf-8"?>
<calcChain xmlns="http://schemas.openxmlformats.org/spreadsheetml/2006/main">
  <c r="G10" i="67"/>
  <c r="D16"/>
  <c r="E7"/>
  <c r="G7" s="1"/>
  <c r="E11"/>
  <c r="G11" s="1"/>
  <c r="E15"/>
  <c r="C15"/>
  <c r="C14"/>
  <c r="E14" s="1"/>
  <c r="F14" s="1"/>
  <c r="C13"/>
  <c r="E13" s="1"/>
  <c r="G13" s="1"/>
  <c r="C12"/>
  <c r="E12" s="1"/>
  <c r="G12" s="1"/>
  <c r="C11"/>
  <c r="C10"/>
  <c r="E10" s="1"/>
  <c r="C9"/>
  <c r="E9" s="1"/>
  <c r="G9" s="1"/>
  <c r="C8"/>
  <c r="E8" s="1"/>
  <c r="G8" s="1"/>
  <c r="C6"/>
  <c r="E6" s="1"/>
  <c r="G6" s="1"/>
  <c r="C5"/>
  <c r="E5" s="1"/>
  <c r="G5" s="1"/>
  <c r="C4"/>
  <c r="C16" s="1"/>
  <c r="G14" l="1"/>
  <c r="F15"/>
  <c r="G15" s="1"/>
  <c r="F16" l="1"/>
  <c r="E4" l="1"/>
  <c r="G4" l="1"/>
  <c r="G16" s="1"/>
  <c r="E16"/>
  <c r="H19" i="57"/>
  <c r="K19" l="1"/>
  <c r="F11" i="66" l="1"/>
  <c r="E11"/>
  <c r="G11" s="1"/>
  <c r="G10"/>
  <c r="J10" s="1"/>
  <c r="G9"/>
  <c r="J9" s="1"/>
  <c r="G8"/>
  <c r="J8" s="1"/>
  <c r="J7"/>
  <c r="G7"/>
  <c r="G6"/>
  <c r="J6" s="1"/>
  <c r="G5"/>
  <c r="J5" s="1"/>
  <c r="G4"/>
  <c r="J4" s="1"/>
  <c r="G3"/>
  <c r="J3" s="1"/>
  <c r="J11" l="1"/>
  <c r="K22" i="64" l="1"/>
  <c r="J22"/>
  <c r="G22"/>
  <c r="F22"/>
  <c r="I21"/>
  <c r="L21" s="1"/>
  <c r="I20"/>
  <c r="L20" s="1"/>
  <c r="I19"/>
  <c r="L19" s="1"/>
  <c r="M19" s="1"/>
  <c r="I18"/>
  <c r="L18" s="1"/>
  <c r="M18" s="1"/>
  <c r="I17"/>
  <c r="L17" s="1"/>
  <c r="I16"/>
  <c r="L16" s="1"/>
  <c r="I15"/>
  <c r="L15" s="1"/>
  <c r="M15" s="1"/>
  <c r="I14"/>
  <c r="L14" s="1"/>
  <c r="I13"/>
  <c r="L13" s="1"/>
  <c r="I12"/>
  <c r="L12" s="1"/>
  <c r="I11"/>
  <c r="I10"/>
  <c r="L10" s="1"/>
  <c r="M10" s="1"/>
  <c r="L9"/>
  <c r="I9"/>
  <c r="N8"/>
  <c r="M8"/>
  <c r="L8"/>
  <c r="I8"/>
  <c r="I7"/>
  <c r="L7" s="1"/>
  <c r="I6"/>
  <c r="I5"/>
  <c r="I4"/>
  <c r="L4" s="1"/>
  <c r="I3"/>
  <c r="N6" l="1"/>
  <c r="M14"/>
  <c r="L6"/>
  <c r="M9"/>
  <c r="I22"/>
  <c r="L5"/>
  <c r="N5" s="1"/>
  <c r="L11"/>
  <c r="M11" s="1"/>
  <c r="M13"/>
  <c r="M17"/>
  <c r="N4"/>
  <c r="M21"/>
  <c r="N7"/>
  <c r="M12"/>
  <c r="M16"/>
  <c r="M20"/>
  <c r="L3"/>
  <c r="M22" l="1"/>
  <c r="L22"/>
  <c r="N3"/>
  <c r="N22" s="1"/>
  <c r="AW11" i="62" l="1"/>
  <c r="D7" i="60"/>
  <c r="F7"/>
  <c r="H8" i="50" l="1"/>
  <c r="I8"/>
  <c r="AM11" i="62" l="1"/>
  <c r="AN11"/>
  <c r="AO11"/>
  <c r="AQ11"/>
  <c r="AT11"/>
  <c r="AU11"/>
  <c r="AD4"/>
  <c r="AD5"/>
  <c r="AD6"/>
  <c r="AD7"/>
  <c r="AD8"/>
  <c r="AD9"/>
  <c r="AD10"/>
  <c r="AD11" l="1"/>
  <c r="AJ4" l="1"/>
  <c r="AJ5"/>
  <c r="AJ6"/>
  <c r="AJ7"/>
  <c r="AJ8"/>
  <c r="AJ9"/>
  <c r="AJ10"/>
  <c r="AB11"/>
  <c r="AA11"/>
  <c r="Z11"/>
  <c r="Y11"/>
  <c r="W11"/>
  <c r="V11"/>
  <c r="U11"/>
  <c r="T11"/>
  <c r="M11"/>
  <c r="L11"/>
  <c r="K11"/>
  <c r="J11"/>
  <c r="H11"/>
  <c r="G11"/>
  <c r="F11"/>
  <c r="E11"/>
  <c r="D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8"/>
  <c r="AR8" s="1"/>
  <c r="X8"/>
  <c r="R8"/>
  <c r="Q8"/>
  <c r="P8"/>
  <c r="O8"/>
  <c r="N8"/>
  <c r="I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AR11" s="1"/>
  <c r="X4"/>
  <c r="R4"/>
  <c r="Q4"/>
  <c r="P4"/>
  <c r="O4"/>
  <c r="N4"/>
  <c r="I4"/>
  <c r="AJ11" l="1"/>
  <c r="AH4"/>
  <c r="AI5"/>
  <c r="AS5"/>
  <c r="AV5" s="1"/>
  <c r="AK6"/>
  <c r="AS6"/>
  <c r="AV6" s="1"/>
  <c r="AG7"/>
  <c r="AS7"/>
  <c r="AV7" s="1"/>
  <c r="AH8"/>
  <c r="AS8"/>
  <c r="AV8" s="1"/>
  <c r="AI9"/>
  <c r="AS9"/>
  <c r="AV9" s="1"/>
  <c r="AK10"/>
  <c r="AS10"/>
  <c r="AV10" s="1"/>
  <c r="AE10"/>
  <c r="AE6"/>
  <c r="AF7"/>
  <c r="AG8"/>
  <c r="AG4"/>
  <c r="AH9"/>
  <c r="AH5"/>
  <c r="AI10"/>
  <c r="AI6"/>
  <c r="AK7"/>
  <c r="AE7"/>
  <c r="AF8"/>
  <c r="AF4"/>
  <c r="AG9"/>
  <c r="AG5"/>
  <c r="AH10"/>
  <c r="AH6"/>
  <c r="AL6" s="1"/>
  <c r="AI7"/>
  <c r="AK8"/>
  <c r="AK4"/>
  <c r="AE8"/>
  <c r="AE4"/>
  <c r="AF9"/>
  <c r="AF5"/>
  <c r="AG10"/>
  <c r="AG6"/>
  <c r="AH7"/>
  <c r="AI8"/>
  <c r="AL8" s="1"/>
  <c r="AI4"/>
  <c r="AK9"/>
  <c r="AK5"/>
  <c r="AE9"/>
  <c r="AE5"/>
  <c r="AF10"/>
  <c r="AF6"/>
  <c r="N11"/>
  <c r="O11"/>
  <c r="R11"/>
  <c r="X11"/>
  <c r="I11"/>
  <c r="Q11"/>
  <c r="S5"/>
  <c r="S6"/>
  <c r="S9"/>
  <c r="P11"/>
  <c r="S7"/>
  <c r="S8"/>
  <c r="S10"/>
  <c r="AC11"/>
  <c r="S4"/>
  <c r="AL9" l="1"/>
  <c r="AP9" s="1"/>
  <c r="AX9" s="1"/>
  <c r="AH11"/>
  <c r="AG11"/>
  <c r="AE11"/>
  <c r="AL5"/>
  <c r="AP5" s="1"/>
  <c r="AX5" s="1"/>
  <c r="AK11"/>
  <c r="AF11"/>
  <c r="AL4"/>
  <c r="AI11"/>
  <c r="AL7"/>
  <c r="AS4"/>
  <c r="AS11" s="1"/>
  <c r="AL10"/>
  <c r="AP10" s="1"/>
  <c r="AX10" s="1"/>
  <c r="AP6"/>
  <c r="AX6" s="1"/>
  <c r="AP4"/>
  <c r="AP7"/>
  <c r="AX7" s="1"/>
  <c r="AP8"/>
  <c r="AX8" s="1"/>
  <c r="S11"/>
  <c r="AL11" l="1"/>
  <c r="AP11"/>
  <c r="AV4"/>
  <c r="AV11" s="1"/>
  <c r="AX4" l="1"/>
  <c r="C7" i="60" l="1"/>
  <c r="E3"/>
  <c r="E4"/>
  <c r="E5"/>
  <c r="E6"/>
  <c r="E7" l="1"/>
  <c r="D11" i="61" l="1"/>
  <c r="C11"/>
  <c r="E3"/>
  <c r="E4"/>
  <c r="E5"/>
  <c r="E6"/>
  <c r="E7"/>
  <c r="E8"/>
  <c r="E9"/>
  <c r="E10"/>
  <c r="E11" l="1"/>
  <c r="M78" i="57" l="1"/>
  <c r="O78" s="1"/>
  <c r="O77"/>
  <c r="M77"/>
  <c r="M76"/>
  <c r="O76" s="1"/>
  <c r="O75"/>
  <c r="M75"/>
  <c r="M74"/>
  <c r="O74" s="1"/>
  <c r="O73"/>
  <c r="M73"/>
  <c r="M72"/>
  <c r="O72" s="1"/>
  <c r="O71"/>
  <c r="M71"/>
  <c r="L70"/>
  <c r="K70"/>
  <c r="J70"/>
  <c r="I70"/>
  <c r="H70"/>
  <c r="G70"/>
  <c r="F70"/>
  <c r="E70"/>
  <c r="M70" s="1"/>
  <c r="O70" s="1"/>
  <c r="O69"/>
  <c r="M69"/>
  <c r="M68"/>
  <c r="O68" s="1"/>
  <c r="O67"/>
  <c r="M67"/>
  <c r="M66"/>
  <c r="O66" s="1"/>
  <c r="L65"/>
  <c r="K65"/>
  <c r="J65"/>
  <c r="I65"/>
  <c r="H65"/>
  <c r="G65"/>
  <c r="F65"/>
  <c r="E65"/>
  <c r="M65" s="1"/>
  <c r="O65" s="1"/>
  <c r="M64"/>
  <c r="M63"/>
  <c r="L62"/>
  <c r="K62"/>
  <c r="J62"/>
  <c r="I62"/>
  <c r="H62"/>
  <c r="G62"/>
  <c r="F62"/>
  <c r="E62"/>
  <c r="M62" s="1"/>
  <c r="E61"/>
  <c r="M61" s="1"/>
  <c r="M60"/>
  <c r="E60"/>
  <c r="E59" s="1"/>
  <c r="L59"/>
  <c r="K59"/>
  <c r="K58" s="1"/>
  <c r="J59"/>
  <c r="J58" s="1"/>
  <c r="I59"/>
  <c r="H59"/>
  <c r="G59"/>
  <c r="G58" s="1"/>
  <c r="F59"/>
  <c r="F58" s="1"/>
  <c r="L58"/>
  <c r="I58"/>
  <c r="H58"/>
  <c r="M57"/>
  <c r="L56"/>
  <c r="K56"/>
  <c r="J56"/>
  <c r="I56"/>
  <c r="H56"/>
  <c r="G56"/>
  <c r="F56"/>
  <c r="E56"/>
  <c r="M56" s="1"/>
  <c r="M55"/>
  <c r="L54"/>
  <c r="K54"/>
  <c r="J54"/>
  <c r="I54"/>
  <c r="H54"/>
  <c r="G54"/>
  <c r="F54"/>
  <c r="E54"/>
  <c r="M54" s="1"/>
  <c r="M53"/>
  <c r="E53"/>
  <c r="M52"/>
  <c r="L51"/>
  <c r="K51"/>
  <c r="J51"/>
  <c r="I51"/>
  <c r="H51"/>
  <c r="G51"/>
  <c r="F51"/>
  <c r="E51"/>
  <c r="M51" s="1"/>
  <c r="M50"/>
  <c r="E50"/>
  <c r="E49" s="1"/>
  <c r="M49" s="1"/>
  <c r="L49"/>
  <c r="K49"/>
  <c r="J49"/>
  <c r="I49"/>
  <c r="H49"/>
  <c r="G49"/>
  <c r="F49"/>
  <c r="M48"/>
  <c r="E48"/>
  <c r="E47" s="1"/>
  <c r="L47"/>
  <c r="K47"/>
  <c r="K42" s="1"/>
  <c r="J47"/>
  <c r="I47"/>
  <c r="H47"/>
  <c r="G47"/>
  <c r="G42" s="1"/>
  <c r="F47"/>
  <c r="M46"/>
  <c r="L45"/>
  <c r="K45"/>
  <c r="J45"/>
  <c r="I45"/>
  <c r="H45"/>
  <c r="G45"/>
  <c r="F45"/>
  <c r="E45"/>
  <c r="M45" s="1"/>
  <c r="M44"/>
  <c r="M43"/>
  <c r="L42"/>
  <c r="I42"/>
  <c r="H42"/>
  <c r="M41"/>
  <c r="L40"/>
  <c r="K40"/>
  <c r="J40"/>
  <c r="I40"/>
  <c r="H40"/>
  <c r="G40"/>
  <c r="F40"/>
  <c r="E40"/>
  <c r="M40" s="1"/>
  <c r="E39"/>
  <c r="M39" s="1"/>
  <c r="L38"/>
  <c r="K38"/>
  <c r="J38"/>
  <c r="I38"/>
  <c r="H38"/>
  <c r="G38"/>
  <c r="F38"/>
  <c r="E38"/>
  <c r="M38" s="1"/>
  <c r="L37"/>
  <c r="K37"/>
  <c r="J37"/>
  <c r="I37"/>
  <c r="H37"/>
  <c r="F37"/>
  <c r="E37"/>
  <c r="M37" s="1"/>
  <c r="L36"/>
  <c r="K36"/>
  <c r="J36"/>
  <c r="I36"/>
  <c r="H36"/>
  <c r="G36"/>
  <c r="F36"/>
  <c r="M35"/>
  <c r="M34"/>
  <c r="M33"/>
  <c r="L32"/>
  <c r="K32"/>
  <c r="K31" s="1"/>
  <c r="J32"/>
  <c r="J31" s="1"/>
  <c r="I32"/>
  <c r="H32"/>
  <c r="G32"/>
  <c r="G31" s="1"/>
  <c r="F32"/>
  <c r="F31" s="1"/>
  <c r="E32"/>
  <c r="M32" s="1"/>
  <c r="L31"/>
  <c r="I31"/>
  <c r="H31"/>
  <c r="M30"/>
  <c r="M29"/>
  <c r="E28"/>
  <c r="M28" s="1"/>
  <c r="L27"/>
  <c r="K27"/>
  <c r="J27"/>
  <c r="I27"/>
  <c r="H27"/>
  <c r="G27"/>
  <c r="F27"/>
  <c r="E27"/>
  <c r="M27" s="1"/>
  <c r="M26"/>
  <c r="E26"/>
  <c r="L25"/>
  <c r="K25"/>
  <c r="J25"/>
  <c r="I25"/>
  <c r="H25"/>
  <c r="G25"/>
  <c r="F25"/>
  <c r="E25"/>
  <c r="M25" s="1"/>
  <c r="M24"/>
  <c r="H24"/>
  <c r="E24"/>
  <c r="H23"/>
  <c r="M23" s="1"/>
  <c r="L22"/>
  <c r="K22"/>
  <c r="K20" s="1"/>
  <c r="J22"/>
  <c r="I22"/>
  <c r="G22"/>
  <c r="G20" s="1"/>
  <c r="F22"/>
  <c r="E22"/>
  <c r="E21"/>
  <c r="M21" s="1"/>
  <c r="L20"/>
  <c r="J20"/>
  <c r="I20"/>
  <c r="F20"/>
  <c r="E20"/>
  <c r="M19"/>
  <c r="E18"/>
  <c r="M18" s="1"/>
  <c r="M17"/>
  <c r="E17"/>
  <c r="M16"/>
  <c r="L15"/>
  <c r="K15"/>
  <c r="J15"/>
  <c r="J4" s="1"/>
  <c r="J80" s="1"/>
  <c r="I15"/>
  <c r="H15"/>
  <c r="G15"/>
  <c r="F15"/>
  <c r="F4" s="1"/>
  <c r="F80" s="1"/>
  <c r="E15"/>
  <c r="M14"/>
  <c r="E14"/>
  <c r="E13"/>
  <c r="E12" s="1"/>
  <c r="M12" s="1"/>
  <c r="L12"/>
  <c r="K12"/>
  <c r="J12"/>
  <c r="I12"/>
  <c r="H12"/>
  <c r="G12"/>
  <c r="F12"/>
  <c r="M11"/>
  <c r="E11"/>
  <c r="L10"/>
  <c r="K10"/>
  <c r="J10"/>
  <c r="I10"/>
  <c r="I8" s="1"/>
  <c r="H10"/>
  <c r="G10"/>
  <c r="F10"/>
  <c r="E10"/>
  <c r="M10" s="1"/>
  <c r="M9"/>
  <c r="E9"/>
  <c r="E8" s="1"/>
  <c r="L8"/>
  <c r="K8"/>
  <c r="J8"/>
  <c r="H8"/>
  <c r="G8"/>
  <c r="F8"/>
  <c r="M7"/>
  <c r="E7"/>
  <c r="M6"/>
  <c r="E6"/>
  <c r="L5"/>
  <c r="L4" s="1"/>
  <c r="K5"/>
  <c r="J5"/>
  <c r="I5"/>
  <c r="I4" s="1"/>
  <c r="H5"/>
  <c r="G5"/>
  <c r="F5"/>
  <c r="E5"/>
  <c r="E4" s="1"/>
  <c r="G7" i="50"/>
  <c r="G6"/>
  <c r="G5"/>
  <c r="G4"/>
  <c r="G3"/>
  <c r="M15" i="57" l="1"/>
  <c r="G4"/>
  <c r="G80" s="1"/>
  <c r="K4"/>
  <c r="K3" s="1"/>
  <c r="M47"/>
  <c r="M8"/>
  <c r="G3"/>
  <c r="M20"/>
  <c r="E80"/>
  <c r="I3"/>
  <c r="I80"/>
  <c r="K80"/>
  <c r="E58"/>
  <c r="M58" s="1"/>
  <c r="M59"/>
  <c r="L3"/>
  <c r="L80"/>
  <c r="H4"/>
  <c r="M22"/>
  <c r="F42"/>
  <c r="J42"/>
  <c r="F3"/>
  <c r="J3"/>
  <c r="M13"/>
  <c r="H22"/>
  <c r="H20" s="1"/>
  <c r="M5"/>
  <c r="E36"/>
  <c r="G8" i="50"/>
  <c r="H3" i="57" l="1"/>
  <c r="H80"/>
  <c r="M36"/>
  <c r="E31"/>
  <c r="E42"/>
  <c r="M42" s="1"/>
  <c r="O42" s="1"/>
  <c r="M4"/>
  <c r="O4" l="1"/>
  <c r="M80"/>
  <c r="M31"/>
  <c r="O31" s="1"/>
  <c r="E3"/>
  <c r="M3" s="1"/>
  <c r="O3" s="1"/>
  <c r="H5" i="47" l="1"/>
  <c r="H4"/>
  <c r="H3"/>
  <c r="H4" i="46"/>
  <c r="H6" s="1"/>
  <c r="H5"/>
  <c r="H3"/>
  <c r="H6" i="47" l="1"/>
  <c r="I12" i="45" l="1"/>
  <c r="I9"/>
  <c r="I6"/>
  <c r="I5"/>
  <c r="I7"/>
  <c r="I8"/>
  <c r="I10"/>
  <c r="I11"/>
  <c r="I4"/>
  <c r="I13" l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<sst xmlns="http://schemas.openxmlformats.org/spreadsheetml/2006/main" count="14475" uniqueCount="2465">
  <si>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</si>
  <si>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</si>
  <si>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</si>
  <si>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</si>
  <si>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</si>
  <si>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</si>
  <si>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</si>
  <si>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</si>
  <si>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</si>
  <si>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</si>
  <si>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</si>
  <si>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</si>
  <si>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</si>
  <si>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</si>
  <si>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</si>
  <si>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</si>
  <si>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</si>
  <si>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</si>
  <si>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</si>
  <si>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</si>
  <si>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</si>
  <si>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</si>
  <si>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</si>
  <si>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</si>
  <si>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</si>
  <si>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</si>
  <si>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</si>
  <si>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</si>
  <si>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</si>
  <si>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</si>
  <si>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</si>
  <si>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</si>
  <si>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</si>
  <si>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</si>
  <si>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</si>
  <si>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</si>
  <si>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</si>
  <si>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</si>
  <si>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</si>
  <si>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</si>
  <si>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</si>
  <si>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</si>
  <si>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</si>
  <si>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</si>
  <si>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</si>
  <si>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</si>
  <si>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</si>
  <si>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</si>
  <si>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</si>
  <si>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</si>
  <si>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</si>
  <si>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</si>
  <si>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</si>
  <si>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</si>
  <si>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</si>
  <si>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</si>
  <si>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</si>
  <si>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</si>
  <si>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</si>
  <si>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</si>
  <si>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</si>
  <si>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</si>
  <si>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</si>
  <si>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</si>
  <si>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</si>
  <si>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</si>
  <si>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</si>
  <si>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</si>
  <si>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</si>
  <si>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</si>
  <si>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</si>
  <si>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</si>
  <si>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</si>
  <si>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</si>
  <si>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</si>
  <si>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</si>
  <si>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</si>
  <si>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</si>
  <si>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</si>
  <si>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</si>
  <si>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</si>
  <si>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</si>
  <si>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</si>
  <si>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</si>
  <si>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</si>
  <si>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</si>
  <si>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</si>
  <si>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</si>
  <si>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</si>
  <si>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</si>
  <si>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</si>
  <si>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</si>
  <si>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</si>
  <si>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</si>
  <si>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</si>
  <si>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</si>
  <si>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</si>
  <si>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</si>
  <si>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</si>
  <si>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</si>
  <si>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</si>
  <si>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</si>
  <si>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</si>
  <si>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</si>
  <si>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</si>
  <si>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</si>
  <si>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</si>
  <si>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</si>
  <si>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</si>
  <si>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</si>
  <si>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</si>
  <si>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</si>
  <si>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</si>
  <si>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</si>
  <si>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</si>
  <si>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</si>
  <si>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</si>
  <si>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</si>
  <si>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</si>
  <si>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</si>
  <si>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</si>
  <si>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</si>
  <si>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</si>
  <si>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</si>
  <si>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</si>
  <si>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</si>
  <si>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</si>
  <si>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</si>
  <si>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</si>
  <si>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</si>
  <si>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</si>
  <si>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</si>
  <si>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</si>
  <si>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</si>
  <si>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</si>
  <si>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</si>
  <si>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</si>
  <si>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</si>
  <si>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</si>
  <si>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</si>
  <si>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</si>
  <si>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</si>
  <si>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</si>
  <si>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</si>
  <si>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</si>
  <si>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</si>
  <si>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</si>
  <si>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</si>
  <si>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</si>
  <si>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</si>
  <si>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</si>
  <si>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</si>
  <si>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</si>
  <si>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</si>
  <si>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</si>
  <si>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</si>
  <si>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</si>
  <si>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</si>
  <si>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</si>
  <si>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</si>
  <si>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</si>
  <si>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</si>
  <si>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</si>
  <si>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</si>
  <si>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</si>
  <si>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</si>
  <si>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</si>
  <si>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</si>
  <si>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</si>
  <si>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</si>
  <si>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</si>
  <si>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</si>
  <si>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</si>
  <si>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</si>
  <si>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</si>
  <si>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</si>
  <si>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</si>
  <si>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</si>
  <si>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</si>
  <si>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</si>
  <si>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</si>
  <si>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</si>
  <si>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</si>
  <si>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</si>
  <si>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</si>
  <si>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</si>
  <si>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</si>
  <si>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</si>
  <si>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</si>
  <si>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</si>
  <si>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</si>
  <si>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</si>
  <si>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</si>
  <si>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</si>
  <si>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</si>
  <si>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</si>
  <si>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</si>
  <si>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</si>
  <si>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</si>
  <si>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</si>
  <si>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</si>
  <si>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</si>
  <si>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</si>
  <si>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</si>
  <si>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</si>
  <si>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</si>
  <si>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</si>
  <si>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</si>
  <si>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</si>
  <si>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</si>
  <si>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</si>
  <si>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</si>
  <si>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</si>
  <si>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</si>
  <si>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</si>
  <si>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</si>
  <si>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</si>
  <si>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</si>
  <si>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</si>
  <si>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</si>
  <si>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</si>
  <si>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</si>
  <si>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</si>
  <si>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</si>
  <si>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</si>
  <si>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</si>
  <si>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</si>
  <si>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</si>
  <si>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</si>
  <si>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</si>
  <si>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</si>
  <si>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</si>
  <si>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</si>
  <si>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</si>
  <si>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</si>
  <si>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</si>
  <si>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</si>
  <si>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</si>
  <si>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</si>
  <si>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</si>
  <si>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</si>
  <si>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</si>
  <si>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</si>
  <si>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</si>
  <si>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</si>
  <si>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</si>
  <si>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</si>
  <si>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</si>
  <si>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</si>
  <si>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</si>
  <si>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</si>
  <si>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</si>
  <si>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</si>
  <si>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</si>
  <si>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</si>
  <si>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</si>
  <si>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</si>
  <si>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</si>
  <si>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</si>
  <si>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</si>
  <si>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</si>
  <si>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</si>
  <si>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</si>
  <si>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</si>
  <si>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</si>
  <si>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</si>
  <si>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</si>
  <si>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</si>
  <si>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</si>
  <si>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</si>
  <si>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</si>
  <si>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</si>
  <si>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</si>
  <si>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</si>
  <si>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</si>
  <si>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</si>
  <si>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</si>
  <si>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</si>
  <si>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</si>
  <si>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</si>
  <si>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</si>
  <si>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</si>
  <si>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</si>
  <si>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</si>
  <si>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</si>
  <si>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</si>
  <si>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</si>
  <si>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</si>
  <si>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</si>
  <si>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</si>
  <si>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</si>
  <si>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</si>
  <si>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</si>
  <si>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</si>
  <si>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</si>
  <si>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</si>
  <si>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</si>
  <si>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</si>
  <si>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</si>
  <si>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</si>
  <si>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</si>
  <si>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</si>
  <si>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</si>
  <si>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</si>
  <si>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</si>
  <si>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</si>
  <si>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</si>
  <si>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</si>
  <si>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</si>
  <si>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</si>
  <si>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</si>
  <si>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</si>
  <si>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</si>
  <si>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</si>
  <si>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</si>
  <si>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</si>
  <si>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</si>
  <si>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</si>
  <si>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</si>
  <si>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</si>
  <si>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</si>
  <si>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</si>
  <si>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</si>
  <si>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</si>
  <si>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</si>
  <si>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</si>
  <si>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</si>
  <si>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</si>
  <si>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</si>
  <si>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</si>
  <si>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</si>
  <si>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</si>
  <si>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</si>
  <si>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</si>
  <si>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</si>
  <si>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</si>
  <si>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</si>
  <si>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</si>
  <si>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</si>
  <si>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</si>
  <si>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</si>
  <si>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</si>
  <si>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</si>
  <si>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</si>
  <si>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</si>
  <si>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</si>
  <si>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</si>
  <si>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</si>
  <si>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</si>
  <si>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</si>
  <si>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</si>
  <si>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</si>
  <si>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</si>
  <si>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</si>
  <si>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</si>
  <si>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</si>
  <si>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</si>
  <si>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</si>
  <si>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</si>
  <si>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</si>
  <si>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</si>
  <si>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</si>
  <si>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</si>
  <si>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</si>
  <si>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</si>
  <si>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</si>
  <si>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</si>
  <si>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</si>
  <si>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</si>
  <si>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</si>
  <si>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</si>
  <si>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</si>
  <si>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</si>
  <si>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</si>
  <si>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</si>
  <si>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</si>
  <si>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</si>
  <si>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</si>
  <si>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</si>
  <si>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</si>
  <si>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</si>
  <si>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</si>
  <si>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</si>
  <si>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</si>
  <si>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</si>
  <si>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</si>
  <si>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</si>
  <si>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</si>
  <si>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</si>
  <si>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</si>
  <si>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</si>
  <si>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</si>
  <si>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</si>
  <si>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</si>
  <si>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</si>
  <si>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</si>
  <si>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</si>
  <si>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</si>
  <si>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</si>
  <si>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</si>
  <si>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</si>
  <si>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</si>
  <si>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</si>
  <si>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</si>
  <si>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</si>
  <si>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</si>
  <si>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</si>
  <si>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</si>
  <si>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</si>
  <si>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</si>
  <si>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</si>
  <si>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</si>
  <si>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</si>
  <si>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</si>
  <si>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</si>
  <si>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</si>
  <si>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</si>
  <si>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</si>
  <si>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</si>
  <si>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</si>
  <si>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</si>
  <si>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</si>
  <si>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</si>
  <si>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</si>
  <si>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</si>
  <si>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</si>
  <si>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</si>
  <si>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</si>
  <si>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</si>
  <si>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</si>
  <si>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</si>
  <si>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</si>
  <si>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</si>
  <si>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</si>
  <si>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</si>
  <si>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</si>
  <si>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</si>
  <si>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</si>
  <si>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</si>
  <si>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</si>
  <si>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</si>
  <si>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</si>
  <si>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</si>
  <si>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</si>
  <si>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</si>
  <si>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</si>
  <si>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</si>
  <si>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</si>
  <si>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</si>
  <si>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</si>
  <si>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</si>
  <si>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</si>
  <si>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</si>
  <si>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</si>
  <si>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</si>
  <si>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</si>
  <si>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</si>
  <si>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</si>
  <si>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</si>
  <si>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</si>
  <si>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</si>
  <si>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</si>
  <si>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</si>
  <si>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</si>
  <si>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</si>
  <si>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</si>
  <si>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</si>
  <si>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</si>
  <si>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</si>
  <si>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</si>
  <si>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</si>
  <si>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</si>
  <si>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</si>
  <si>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</si>
  <si>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</si>
  <si>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</si>
  <si>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</si>
  <si>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</si>
  <si>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</si>
  <si>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</si>
  <si>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</si>
  <si>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</si>
  <si>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</si>
  <si>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</si>
  <si>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</si>
  <si>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</si>
  <si>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</si>
  <si>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</si>
  <si>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</si>
  <si>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</si>
  <si>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</si>
  <si>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</si>
  <si>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</si>
  <si>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</si>
  <si>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</si>
  <si>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</si>
  <si>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</si>
  <si>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</si>
  <si>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</si>
  <si>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</si>
  <si>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</si>
  <si>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</si>
  <si>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</si>
  <si>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</si>
  <si>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</si>
  <si>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</si>
  <si>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</si>
  <si>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</si>
  <si>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</si>
  <si>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</si>
  <si>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</si>
  <si>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</si>
  <si>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</si>
  <si>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</si>
  <si>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</si>
  <si>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</si>
  <si>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</si>
  <si>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</si>
  <si>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</si>
  <si>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</si>
  <si>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</si>
  <si>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</si>
  <si>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</si>
  <si>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</si>
  <si>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</si>
  <si>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</si>
  <si>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</si>
  <si>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</si>
  <si>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</si>
  <si>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</si>
  <si>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</si>
  <si>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</si>
  <si>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</si>
  <si>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</si>
  <si>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</si>
  <si>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</si>
  <si>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</si>
  <si>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</si>
  <si>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</si>
  <si>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</si>
  <si>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</si>
  <si>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</si>
  <si>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</si>
  <si>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</si>
  <si>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</si>
  <si>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</si>
  <si>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</si>
  <si>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</si>
  <si>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</si>
  <si>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</si>
  <si>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</si>
  <si>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</si>
  <si>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</si>
  <si>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</si>
  <si>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</si>
  <si>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</si>
  <si>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</si>
  <si>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</si>
  <si>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</si>
  <si>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</si>
  <si>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</si>
  <si>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</si>
  <si>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</si>
  <si>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</si>
  <si>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</si>
  <si>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</si>
  <si>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</si>
  <si>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</si>
  <si>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</si>
  <si>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</si>
  <si>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</si>
  <si>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</si>
  <si>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</si>
  <si>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</si>
  <si>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</si>
  <si>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</si>
  <si>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</si>
  <si>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</si>
  <si>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</si>
  <si>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</si>
  <si>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</si>
  <si>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</si>
  <si>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</si>
  <si>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</si>
  <si>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</si>
  <si>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</si>
  <si>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</si>
  <si>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</si>
  <si>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</si>
  <si>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</si>
  <si>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</si>
  <si>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</si>
  <si>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</si>
  <si>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</si>
  <si>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</si>
  <si>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</si>
  <si>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</si>
  <si>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</si>
  <si>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</si>
  <si>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</si>
  <si>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</si>
  <si>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</si>
  <si>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</si>
  <si>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</si>
  <si>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</si>
  <si>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</si>
  <si>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</si>
  <si>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</si>
  <si>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</si>
  <si>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</si>
  <si>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</si>
  <si>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</si>
  <si>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</si>
  <si>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</si>
  <si>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</si>
  <si>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</si>
  <si>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</si>
  <si>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</si>
  <si>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</si>
  <si>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</si>
  <si>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</si>
  <si>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</si>
  <si>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</si>
  <si>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</si>
  <si>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</si>
  <si>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</si>
  <si>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</si>
  <si>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</si>
  <si>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</si>
  <si>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</si>
  <si>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</si>
  <si>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</si>
  <si>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</si>
  <si>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</si>
  <si>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</si>
  <si>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</si>
  <si>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</si>
  <si>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</si>
  <si>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</si>
  <si>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</si>
  <si>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</si>
  <si>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</si>
  <si>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</si>
  <si>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</si>
  <si>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</si>
  <si>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</si>
  <si>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</si>
  <si>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</si>
  <si>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</si>
  <si>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</si>
  <si>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</si>
  <si>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</si>
  <si>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</si>
  <si>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</si>
  <si>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</si>
  <si>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</si>
  <si>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</si>
  <si>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</si>
  <si>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</si>
  <si>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</si>
  <si>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</si>
  <si>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</si>
  <si>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</si>
  <si>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</si>
  <si>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</si>
  <si>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</si>
  <si>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</si>
  <si>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</si>
  <si>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</si>
  <si>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</si>
  <si>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</si>
  <si>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</si>
  <si>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</si>
  <si>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</si>
  <si>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</si>
  <si>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</si>
  <si>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</si>
  <si>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</si>
  <si>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</si>
  <si>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</si>
  <si>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</si>
  <si>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</si>
  <si>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</si>
  <si>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</si>
  <si>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</si>
  <si>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</si>
  <si>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</si>
  <si>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</si>
  <si>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</si>
  <si>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</si>
  <si>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</si>
  <si>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</si>
  <si>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</si>
  <si>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</si>
  <si>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</si>
  <si>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</si>
  <si>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</si>
  <si>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</si>
  <si>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</si>
  <si>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</si>
  <si>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</si>
  <si>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</si>
  <si>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</si>
  <si>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</si>
  <si>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</si>
  <si>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</si>
  <si>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</si>
  <si>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</si>
  <si>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</si>
  <si>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</si>
  <si>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</si>
  <si>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</si>
  <si>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</si>
  <si>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</si>
  <si>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</si>
  <si>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</si>
  <si>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</si>
  <si>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</si>
  <si>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</si>
  <si>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</si>
  <si>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</si>
  <si>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</si>
  <si>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</si>
  <si>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</si>
  <si>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</si>
  <si>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</si>
  <si>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</si>
  <si>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</si>
  <si>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</si>
  <si>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</si>
  <si>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</si>
  <si>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</si>
  <si>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</si>
  <si>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</si>
  <si>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</si>
  <si>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</si>
  <si>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</si>
  <si>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</si>
  <si>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</si>
  <si>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</si>
  <si>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</si>
  <si>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</si>
  <si>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</si>
  <si>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</si>
  <si>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</si>
  <si>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</si>
  <si>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</si>
  <si>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</si>
  <si>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</si>
  <si>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</si>
  <si>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</si>
  <si>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</si>
  <si>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</si>
  <si>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</si>
  <si>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</si>
  <si>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</si>
  <si>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</si>
  <si>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</si>
  <si>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</si>
  <si>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</si>
  <si>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</si>
  <si>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</si>
  <si>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</si>
  <si>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</si>
  <si>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</si>
  <si>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</si>
  <si>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</si>
  <si>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</si>
  <si>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</si>
  <si>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</si>
  <si>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</si>
  <si>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</si>
  <si>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</si>
  <si>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</si>
  <si>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</si>
  <si>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</si>
  <si>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</si>
  <si>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</si>
  <si>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</si>
  <si>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</si>
  <si>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</si>
  <si>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</si>
  <si>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</si>
  <si>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</si>
  <si>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</si>
  <si>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</si>
  <si>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</si>
  <si>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</si>
  <si>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</si>
  <si>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</si>
  <si>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</si>
  <si>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</si>
  <si>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</si>
  <si>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</si>
  <si>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</si>
  <si>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</si>
  <si>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</si>
  <si>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</si>
  <si>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</si>
  <si>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</si>
  <si>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</si>
  <si>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</si>
  <si>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</si>
  <si>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</si>
  <si>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</si>
  <si>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</si>
  <si>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</si>
  <si>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</si>
  <si>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</si>
  <si>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</si>
  <si>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</si>
  <si>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</si>
  <si>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</si>
  <si>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</si>
  <si>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</si>
  <si>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</si>
  <si>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</si>
  <si>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</si>
  <si>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</si>
  <si>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</si>
  <si>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</si>
  <si>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</si>
  <si>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</si>
  <si>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</si>
  <si>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</si>
  <si>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</si>
  <si>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</si>
  <si>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</si>
  <si>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</si>
  <si>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</si>
  <si>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</si>
  <si>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</si>
  <si>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</si>
  <si>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</si>
  <si>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</si>
  <si>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</si>
  <si>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</si>
  <si>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</si>
  <si>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</si>
  <si>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</si>
  <si>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</si>
  <si>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</si>
  <si>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</si>
  <si>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</si>
  <si>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</si>
  <si>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</si>
  <si>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</si>
  <si>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</si>
  <si>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</si>
  <si>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</si>
  <si>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</si>
  <si>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</si>
  <si>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</si>
  <si>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</si>
  <si>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</si>
  <si>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</si>
  <si>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</si>
  <si>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</si>
  <si>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</si>
  <si>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</si>
  <si>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</si>
  <si>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</si>
  <si>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</si>
  <si>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</si>
  <si>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</si>
  <si>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</si>
  <si>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</si>
  <si>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</si>
  <si>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</si>
  <si>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</si>
  <si>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</si>
  <si>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</si>
  <si>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</si>
  <si>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</si>
  <si>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</si>
  <si>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</si>
  <si>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</si>
  <si>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</si>
  <si>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</si>
  <si>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</si>
  <si>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</si>
  <si>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</si>
  <si>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</si>
  <si>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</si>
  <si>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</si>
  <si>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</si>
  <si>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</si>
  <si>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</si>
  <si>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</si>
  <si>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</si>
  <si>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</si>
  <si>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</si>
  <si>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</si>
  <si>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</si>
  <si>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</si>
  <si>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</si>
  <si>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</si>
  <si>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</si>
  <si>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</si>
  <si>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</si>
  <si>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</si>
  <si>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</si>
  <si>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</si>
  <si>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</si>
  <si>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</si>
  <si>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</si>
  <si>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</si>
  <si>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</si>
  <si>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</si>
  <si>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</si>
  <si>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</si>
  <si>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</si>
  <si>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</si>
  <si>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</si>
  <si>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</si>
  <si>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</si>
  <si>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</si>
  <si>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</si>
  <si>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</si>
  <si>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</si>
  <si>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</si>
  <si>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</si>
  <si>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</si>
  <si>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</si>
  <si>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</si>
  <si>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</si>
  <si>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</si>
  <si>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</si>
  <si>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</si>
  <si>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</si>
  <si>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</si>
  <si>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</si>
  <si>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</si>
  <si>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</si>
  <si>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</si>
  <si>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</si>
  <si>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</si>
  <si>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</si>
  <si>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</si>
  <si>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</si>
  <si>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</si>
  <si>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</si>
  <si>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</si>
  <si>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</si>
  <si>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</si>
  <si>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</si>
  <si>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</si>
  <si>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</si>
  <si>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</si>
  <si>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</si>
  <si>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</si>
  <si>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</si>
  <si>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</si>
  <si>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</si>
  <si>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</si>
  <si>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</si>
  <si>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</si>
  <si>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</si>
  <si>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</si>
  <si>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</si>
  <si>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</si>
  <si>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</si>
  <si>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</si>
  <si>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</si>
  <si>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</si>
  <si>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</si>
  <si>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</si>
  <si>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</si>
  <si>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</si>
  <si>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</si>
  <si>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</si>
  <si>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</si>
  <si>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</si>
  <si>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</si>
  <si>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</si>
  <si>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</si>
  <si>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</si>
  <si>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</si>
  <si>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</si>
  <si>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</si>
  <si>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</si>
  <si>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</si>
  <si>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</si>
  <si>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</si>
  <si>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</si>
  <si>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</si>
  <si>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</si>
  <si>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</si>
  <si>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</si>
  <si>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</si>
  <si>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</si>
  <si>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</si>
  <si>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</si>
  <si>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</si>
  <si>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</si>
  <si>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</si>
  <si>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</si>
  <si>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</si>
  <si>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</si>
  <si>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</si>
  <si>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</si>
  <si>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</si>
  <si>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</si>
  <si>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</si>
  <si>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</si>
  <si>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</si>
  <si>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</si>
  <si>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</si>
  <si>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</si>
  <si>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</si>
  <si>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</si>
  <si>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</si>
  <si>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</si>
  <si>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</si>
  <si>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</si>
  <si>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</si>
  <si>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</si>
  <si>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</si>
  <si>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</si>
  <si>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</si>
  <si>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</si>
  <si>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</si>
  <si>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</si>
  <si>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</si>
  <si>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</si>
  <si>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</si>
  <si>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</si>
  <si>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</si>
  <si>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</si>
  <si>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</si>
  <si>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</si>
  <si>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</si>
  <si>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</si>
  <si>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</si>
  <si>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</si>
  <si>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</si>
  <si>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</si>
  <si>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</si>
  <si>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</si>
  <si>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</si>
  <si>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</si>
  <si>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</si>
  <si>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</si>
  <si>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</si>
  <si>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</si>
  <si>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</si>
  <si>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</si>
  <si>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</si>
  <si>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</si>
  <si>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</si>
  <si>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</si>
  <si>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</si>
  <si>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</si>
  <si>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</si>
  <si>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</si>
  <si>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</si>
  <si>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</si>
  <si>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</si>
  <si>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</si>
  <si>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</si>
  <si>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</si>
  <si>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</si>
  <si>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</si>
  <si>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</si>
  <si>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</si>
  <si>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</si>
  <si>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</si>
  <si>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</si>
  <si>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</si>
  <si>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</si>
  <si>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</si>
  <si>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</si>
  <si>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</si>
  <si>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</si>
  <si>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</si>
  <si>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</si>
  <si>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</si>
  <si>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</si>
  <si>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</si>
  <si>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</si>
  <si>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</si>
  <si>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</si>
  <si>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</si>
  <si>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</si>
  <si>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</si>
  <si>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</si>
  <si>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</si>
  <si>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</si>
  <si>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</si>
  <si>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</si>
  <si>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</si>
  <si>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</si>
  <si>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</si>
  <si>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</si>
  <si>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</si>
  <si>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</si>
  <si>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</si>
  <si>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</si>
  <si>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</si>
  <si>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</si>
  <si>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</si>
  <si>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</si>
  <si>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</si>
  <si>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</si>
  <si>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</si>
  <si>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</si>
  <si>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</si>
  <si>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</si>
  <si>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</si>
  <si>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</si>
  <si>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</si>
  <si>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</si>
  <si>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</si>
  <si>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</si>
  <si>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</si>
  <si>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</si>
  <si>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</si>
  <si>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</si>
  <si>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</si>
  <si>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</si>
  <si>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</si>
  <si>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</si>
  <si>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</si>
  <si>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</si>
  <si>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</si>
  <si>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</si>
  <si>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</si>
  <si>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</si>
  <si>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</si>
  <si>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</si>
  <si>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</si>
  <si>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</si>
  <si>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</si>
  <si>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</si>
  <si>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</si>
  <si>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</si>
  <si>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</si>
  <si>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</si>
  <si>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</si>
  <si>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</si>
  <si>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</si>
  <si>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</si>
  <si>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</si>
  <si>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</si>
  <si>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</si>
  <si>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</si>
  <si>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</si>
  <si>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</si>
  <si>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</si>
  <si>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</si>
  <si>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</si>
  <si>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</si>
  <si>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</si>
  <si>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</si>
  <si>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</si>
  <si>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</si>
  <si>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</si>
  <si>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</si>
  <si>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</si>
  <si>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</si>
  <si>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</si>
  <si>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</si>
  <si>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</si>
  <si>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</si>
  <si>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</si>
  <si>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</si>
  <si>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</si>
  <si>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</si>
  <si>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</si>
  <si>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</si>
  <si>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</si>
  <si>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</si>
  <si>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</si>
  <si>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</si>
  <si>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</si>
  <si>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</si>
  <si>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</si>
  <si>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</si>
  <si>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</si>
  <si>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</si>
  <si>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</si>
  <si>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</si>
  <si>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</si>
  <si>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</si>
  <si>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</si>
  <si>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</si>
  <si>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</si>
  <si>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</si>
  <si>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</si>
  <si>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</si>
  <si>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</si>
  <si>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</si>
  <si>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</si>
  <si>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</si>
  <si>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</si>
  <si>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</si>
  <si>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</si>
  <si>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</si>
  <si>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</si>
  <si>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</si>
  <si>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</si>
  <si>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</si>
  <si>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</si>
  <si>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</si>
  <si>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</si>
  <si>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</si>
  <si>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</si>
  <si>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</si>
  <si>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</si>
  <si>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</si>
  <si>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</si>
  <si>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</si>
  <si>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</si>
  <si>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</si>
  <si>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</si>
  <si>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</si>
  <si>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</si>
  <si>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</si>
  <si>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</si>
  <si>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</si>
  <si>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</si>
  <si>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</si>
  <si>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</si>
  <si>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</si>
  <si>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</si>
  <si>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</si>
  <si>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</si>
  <si>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</si>
  <si>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</si>
  <si>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</si>
  <si>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</si>
  <si>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</si>
  <si>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</si>
  <si>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</si>
  <si>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</si>
  <si>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</si>
  <si>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</si>
  <si>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</si>
  <si>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</si>
  <si>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</si>
  <si>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</si>
  <si>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</si>
  <si>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</si>
  <si>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</si>
  <si>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</si>
  <si>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</si>
  <si>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</si>
  <si>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</si>
  <si>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</si>
  <si>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</si>
  <si>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</si>
  <si>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</si>
  <si>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</si>
  <si>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</si>
  <si>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</si>
  <si>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</si>
  <si>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</si>
  <si>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</si>
  <si>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</si>
  <si>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</si>
  <si>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</si>
  <si>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</si>
  <si>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</si>
  <si>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</si>
  <si>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</si>
  <si>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</si>
  <si>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</si>
  <si>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</si>
  <si>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</si>
  <si>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</si>
  <si>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</si>
  <si>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</si>
  <si>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</si>
  <si>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</si>
  <si>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</si>
  <si>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</si>
  <si>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</si>
  <si>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</si>
  <si>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</si>
  <si>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</si>
  <si>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</si>
  <si>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</si>
  <si>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</si>
  <si>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</si>
  <si>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</si>
  <si>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</si>
  <si>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</si>
  <si>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</si>
  <si>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</si>
  <si>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</si>
  <si>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</si>
  <si>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</si>
  <si>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</si>
  <si>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</si>
  <si>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</si>
  <si>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</si>
  <si>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</si>
  <si>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</si>
  <si>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</si>
  <si>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</si>
  <si>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</si>
  <si>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</si>
  <si>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</si>
  <si>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</si>
  <si>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</si>
  <si>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</si>
  <si>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</si>
  <si>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</si>
  <si>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</si>
  <si>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</si>
  <si>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</si>
  <si>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</si>
  <si>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</si>
  <si>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</si>
  <si>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</si>
  <si>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</si>
  <si>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</si>
  <si>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</si>
  <si>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</si>
  <si>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</si>
  <si>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</si>
  <si>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</si>
  <si>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</si>
  <si>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</si>
  <si>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</si>
  <si>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</si>
  <si>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</si>
  <si>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</si>
  <si>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</si>
  <si>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</si>
  <si>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</si>
  <si>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</si>
  <si>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</si>
  <si>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</si>
  <si>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</si>
  <si>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</si>
  <si>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</si>
  <si>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</si>
  <si>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</si>
  <si>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</si>
  <si>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</si>
  <si>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</si>
  <si>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</si>
  <si>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</si>
  <si>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</si>
  <si>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</si>
  <si>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</si>
  <si>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</si>
  <si>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</si>
  <si>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</si>
  <si>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</si>
  <si>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</si>
  <si>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</si>
  <si>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</si>
  <si>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</si>
  <si>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</si>
  <si>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</si>
  <si>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</si>
  <si>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</si>
  <si>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</si>
  <si>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</si>
  <si>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</si>
  <si>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</si>
  <si>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</si>
  <si>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</si>
  <si>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</si>
  <si>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</si>
  <si>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</si>
  <si>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</si>
  <si>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</si>
  <si>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</si>
  <si>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</si>
  <si>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</si>
  <si>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</si>
  <si>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</si>
  <si>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</si>
  <si>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</si>
  <si>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</si>
  <si>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</si>
  <si>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</si>
  <si>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</si>
  <si>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</si>
  <si>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</si>
  <si>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</si>
  <si>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</si>
  <si>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</si>
  <si>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</si>
  <si>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</si>
  <si>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</si>
  <si>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</si>
  <si>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</si>
  <si>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</si>
  <si>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</si>
  <si>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</si>
  <si>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</si>
  <si>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</si>
  <si>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</si>
  <si>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</si>
  <si>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</si>
  <si>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</si>
  <si>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</si>
  <si>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</si>
  <si>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</si>
  <si>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</si>
  <si>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</si>
  <si>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</si>
  <si>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</si>
  <si>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</si>
  <si>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</si>
  <si>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</si>
  <si>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</si>
  <si>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</si>
  <si>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</si>
  <si>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</si>
  <si>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</si>
  <si>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</si>
  <si>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</si>
  <si>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</si>
  <si>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</si>
  <si>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</si>
  <si>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</si>
  <si>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</si>
  <si>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</si>
  <si>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</si>
  <si>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</si>
  <si>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</si>
  <si>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</si>
  <si>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</si>
  <si>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</si>
  <si>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</si>
  <si>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</si>
  <si>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</si>
  <si>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</si>
  <si>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</si>
  <si>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</si>
  <si>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</si>
  <si>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</si>
  <si>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</si>
  <si>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</si>
  <si>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</si>
  <si>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</si>
  <si>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</si>
  <si>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</si>
  <si>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</si>
  <si>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</si>
  <si>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</si>
  <si>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</si>
  <si>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</si>
  <si>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</si>
  <si>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</si>
  <si>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</si>
  <si>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</si>
  <si>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</si>
  <si>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</si>
  <si>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</si>
  <si>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</si>
  <si>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</si>
  <si>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</si>
  <si>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</si>
  <si>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</si>
  <si>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</si>
  <si>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</si>
  <si>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</si>
  <si>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</si>
  <si>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</si>
  <si>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</si>
  <si>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</si>
  <si>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</si>
  <si>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</si>
  <si>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</si>
  <si>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</si>
  <si>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</si>
  <si>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</si>
  <si>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</si>
  <si>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</si>
  <si>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</si>
  <si>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</si>
  <si>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</si>
  <si>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</si>
  <si>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</si>
  <si>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</si>
  <si>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</si>
  <si>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</si>
  <si>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</si>
  <si>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</si>
  <si>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</si>
  <si>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</si>
  <si>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</si>
  <si>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</si>
  <si>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</si>
  <si>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</si>
  <si>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</si>
  <si>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</si>
  <si>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</si>
  <si>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</si>
  <si>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</si>
  <si>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</si>
  <si>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</si>
  <si>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</si>
  <si>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</si>
  <si>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</si>
  <si>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</si>
  <si>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</si>
  <si>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</si>
  <si>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</si>
  <si>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</si>
  <si>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</si>
  <si>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</si>
  <si>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</si>
  <si>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</si>
  <si>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</si>
  <si>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</si>
  <si>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</si>
  <si>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</si>
  <si>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</si>
  <si>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</si>
  <si>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</si>
  <si>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</si>
  <si>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</si>
  <si>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</si>
  <si>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</si>
  <si>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</si>
  <si>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</si>
  <si>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</si>
  <si>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</si>
  <si>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</si>
  <si>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</si>
  <si>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</si>
  <si>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</si>
  <si>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</si>
  <si>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</si>
  <si>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</si>
  <si>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</si>
  <si>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</si>
  <si>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</si>
  <si>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</si>
  <si>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</si>
  <si>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</si>
  <si>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</si>
  <si>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</si>
  <si>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</si>
  <si>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</si>
  <si>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</si>
  <si>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</si>
  <si>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</si>
  <si>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</si>
  <si>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</si>
  <si>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</si>
  <si>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</si>
  <si>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</si>
  <si>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</si>
  <si>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</si>
  <si>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</si>
  <si>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</si>
  <si>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</si>
  <si>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</si>
  <si>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</si>
  <si>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</si>
  <si>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</si>
  <si>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</si>
  <si>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</si>
  <si>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</si>
  <si>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</si>
  <si>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</si>
  <si>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</si>
  <si>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</si>
  <si>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</si>
  <si>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</si>
  <si>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</si>
  <si>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</si>
  <si>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</si>
  <si>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</si>
  <si>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</si>
  <si>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</si>
  <si>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</si>
  <si>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</si>
  <si>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</si>
  <si>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</si>
  <si>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</si>
  <si>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</si>
  <si>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</si>
  <si>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</si>
  <si>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</si>
  <si>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</si>
  <si>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</si>
  <si>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</si>
  <si>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</si>
  <si>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</si>
  <si>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</si>
  <si>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</si>
  <si>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</si>
  <si>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</si>
  <si>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</si>
  <si>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</si>
  <si>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</si>
  <si>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</si>
  <si>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</si>
  <si>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</si>
  <si>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</si>
  <si>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</si>
  <si>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</si>
  <si>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</si>
  <si>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</si>
  <si>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</si>
  <si>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</si>
  <si>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</si>
  <si>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</si>
  <si>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</si>
  <si>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</si>
  <si>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</si>
  <si>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</si>
  <si>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</si>
  <si>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</si>
  <si>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</si>
  <si>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</si>
  <si>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</si>
  <si>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</si>
  <si>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</si>
  <si>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</si>
  <si>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</si>
  <si>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</si>
  <si>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</si>
  <si>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</si>
  <si>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</si>
  <si>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</si>
  <si>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</si>
  <si>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</si>
  <si>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</si>
  <si>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</si>
  <si>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</si>
  <si>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</si>
  <si>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</si>
  <si>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</si>
  <si>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</si>
  <si>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</si>
  <si>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</si>
  <si>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</si>
  <si>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</si>
  <si>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</si>
  <si>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</si>
  <si>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</si>
  <si>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</si>
  <si>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</si>
  <si>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</si>
  <si>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</si>
  <si>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</si>
  <si>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</si>
  <si>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</si>
  <si>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</si>
  <si>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</si>
  <si>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</si>
  <si>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</si>
  <si>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</si>
  <si>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</si>
  <si>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</si>
  <si>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</si>
  <si>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</si>
  <si>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</si>
  <si>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</si>
  <si>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</si>
  <si>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</si>
  <si>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</si>
  <si>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</si>
  <si>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</si>
  <si>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</si>
  <si>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</si>
  <si>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</si>
  <si>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</si>
  <si>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</si>
  <si>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</si>
  <si>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</si>
  <si>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</si>
  <si>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</si>
  <si>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</si>
  <si>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</si>
  <si>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</si>
  <si>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</si>
  <si>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</si>
  <si>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</si>
  <si>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</si>
  <si>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</si>
  <si>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</si>
  <si>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</si>
  <si>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</si>
  <si>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</si>
  <si>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</si>
  <si>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</si>
  <si>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</si>
  <si>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</si>
  <si>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</si>
  <si>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</si>
  <si>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</si>
  <si>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</si>
  <si>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</si>
  <si>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</si>
  <si>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</si>
  <si>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</si>
  <si>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</si>
  <si>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</si>
  <si>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</si>
  <si>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</si>
  <si>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</si>
  <si>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</si>
  <si>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</si>
  <si>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</si>
  <si>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</si>
  <si>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</si>
  <si>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</si>
  <si>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</si>
  <si>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</si>
  <si>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</si>
  <si>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</si>
  <si>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</si>
  <si>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</si>
  <si>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</si>
  <si>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</si>
  <si>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</si>
  <si>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</si>
  <si>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</si>
  <si>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</si>
  <si>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</si>
  <si>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</si>
  <si>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</si>
  <si>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</si>
  <si>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</si>
  <si>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</si>
  <si>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</si>
  <si>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</si>
  <si>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</si>
  <si>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</si>
  <si>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</si>
  <si>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</si>
  <si>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</si>
  <si>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</si>
  <si>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</si>
  <si>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</si>
  <si>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</si>
  <si>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</si>
  <si>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</si>
  <si>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</si>
  <si>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</si>
  <si>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</si>
  <si>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</si>
  <si>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</si>
  <si>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</si>
  <si>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</si>
  <si>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</si>
  <si>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</si>
  <si>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</si>
  <si>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</si>
  <si>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</si>
  <si>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</si>
  <si>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</si>
  <si>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</si>
  <si>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</si>
  <si>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</si>
  <si>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</si>
  <si>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</si>
  <si>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</si>
  <si>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</si>
  <si>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</si>
  <si>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</si>
  <si>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</si>
  <si>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</si>
  <si>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</si>
  <si>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</si>
  <si>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</si>
  <si>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</si>
  <si>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</si>
  <si>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</si>
  <si>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</si>
  <si>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</si>
  <si>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</si>
  <si>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</si>
  <si>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</si>
  <si>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</si>
  <si>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</si>
  <si>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</si>
  <si>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</si>
  <si>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</si>
  <si>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</si>
  <si>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</si>
  <si>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</si>
  <si>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</si>
  <si>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</si>
  <si>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</si>
  <si>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</si>
  <si>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</si>
  <si>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</si>
  <si>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</si>
  <si>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</si>
  <si>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</si>
  <si>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</si>
  <si>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</si>
  <si>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</si>
  <si>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</si>
  <si>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</si>
  <si>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</si>
  <si>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</si>
  <si>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</si>
  <si>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</si>
  <si>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</si>
  <si>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</si>
  <si>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</si>
  <si>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</si>
  <si>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</si>
  <si>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</si>
  <si>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</si>
  <si>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</si>
  <si>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</si>
  <si>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</si>
  <si>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</si>
  <si>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</si>
  <si>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</si>
  <si>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</si>
  <si>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</si>
  <si>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</si>
  <si>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</si>
  <si>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</si>
  <si>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</si>
  <si>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</si>
  <si>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</si>
  <si>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</si>
  <si>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</si>
  <si>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</si>
  <si>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</si>
  <si>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</si>
  <si>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</si>
  <si>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</si>
  <si>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</si>
  <si>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</si>
  <si>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</si>
  <si>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</si>
  <si>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</si>
  <si>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</si>
  <si>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</si>
  <si>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</si>
  <si>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</si>
  <si>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</si>
  <si>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</si>
  <si>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</si>
  <si>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</si>
  <si>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</si>
  <si>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</si>
  <si>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</si>
  <si>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</si>
  <si>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</si>
  <si>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</si>
  <si>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</si>
  <si>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</si>
  <si>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</si>
  <si>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</si>
  <si>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</si>
  <si>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</si>
  <si>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</si>
  <si>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</si>
  <si>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</si>
  <si>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</si>
  <si>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</si>
  <si>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</si>
  <si>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</si>
  <si>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</si>
  <si>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</si>
  <si>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</si>
  <si>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</si>
  <si>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</si>
  <si>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</si>
  <si>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</si>
  <si>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</si>
  <si>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</si>
  <si>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</si>
  <si>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</si>
  <si>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</si>
  <si>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</si>
  <si>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</si>
  <si>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</si>
  <si>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</si>
  <si>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</si>
  <si>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</si>
  <si>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</si>
  <si>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</si>
  <si>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</si>
  <si>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</si>
  <si>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</si>
  <si>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</si>
  <si>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</si>
  <si>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</si>
  <si>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</si>
  <si>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</si>
  <si>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</si>
  <si>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</si>
  <si>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</si>
  <si>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</si>
  <si>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</si>
  <si>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</si>
  <si>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</si>
  <si>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</si>
  <si>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</si>
  <si>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</si>
  <si>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</si>
  <si>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</si>
  <si>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</si>
  <si>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</si>
  <si>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</si>
  <si>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</si>
  <si>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</si>
  <si>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</si>
  <si>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</si>
  <si>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</si>
  <si>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</si>
  <si>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</si>
  <si>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</si>
  <si>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</si>
  <si>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</si>
  <si>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</si>
  <si>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</si>
  <si>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</si>
  <si>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</si>
  <si>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</si>
  <si>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</si>
  <si>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</si>
  <si>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</si>
  <si>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</si>
  <si>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</si>
  <si>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</si>
  <si>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</si>
  <si>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</si>
  <si>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</si>
  <si>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</si>
  <si>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</si>
  <si>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</si>
  <si>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</si>
  <si>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</si>
  <si>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</si>
  <si>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</si>
  <si>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</si>
  <si>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</si>
  <si>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</si>
  <si>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</si>
  <si>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</si>
  <si>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</si>
  <si>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</si>
  <si>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</si>
  <si>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</si>
  <si>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</si>
  <si>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</si>
  <si>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</si>
  <si>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</si>
  <si>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</si>
  <si>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</si>
  <si>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</si>
  <si>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</si>
  <si>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</si>
  <si>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</si>
  <si>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</si>
  <si>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</si>
  <si>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</si>
  <si>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</si>
  <si>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</si>
  <si>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</si>
  <si>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</si>
  <si>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</si>
  <si>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</si>
  <si>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</si>
  <si>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</si>
  <si>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</si>
  <si>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</si>
  <si>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</si>
  <si>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</si>
  <si>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</si>
  <si>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</si>
  <si>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</si>
  <si>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</si>
  <si>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</si>
  <si>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</si>
  <si>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</si>
  <si>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</si>
  <si>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</si>
  <si>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</si>
  <si>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</si>
  <si>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</si>
  <si>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</si>
  <si>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</si>
  <si>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</si>
  <si>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</si>
  <si>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</si>
  <si>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</si>
  <si>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</si>
  <si>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</si>
  <si>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</si>
  <si>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</si>
  <si>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</si>
  <si>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</si>
  <si>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</si>
  <si>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</si>
  <si>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</si>
  <si>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</si>
  <si>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</si>
  <si>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</si>
  <si>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</si>
  <si>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</si>
  <si>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</si>
  <si>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</si>
  <si>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</si>
  <si>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</si>
  <si>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</si>
  <si>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</si>
  <si>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</si>
  <si>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</si>
  <si>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</si>
  <si>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</si>
  <si>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</si>
  <si>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</si>
  <si>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</si>
  <si>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</si>
  <si>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</si>
  <si>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</si>
  <si>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</si>
  <si>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</si>
  <si>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</si>
  <si>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</si>
  <si>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</si>
  <si>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</si>
  <si>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</si>
  <si>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</si>
  <si>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</si>
  <si>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</si>
  <si>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</si>
  <si>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</si>
  <si>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</si>
  <si>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</si>
  <si>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</si>
  <si>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</si>
  <si>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</si>
  <si>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</si>
  <si>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</si>
  <si>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</si>
  <si>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</si>
  <si>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</si>
  <si>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</si>
  <si>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</si>
  <si>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</si>
  <si>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</si>
  <si>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</si>
  <si>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</si>
  <si>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</si>
  <si>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</si>
  <si>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</si>
  <si>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</si>
  <si>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</si>
  <si>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</si>
  <si>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</si>
  <si>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</si>
  <si>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</si>
  <si>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</si>
  <si>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</si>
  <si>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</si>
  <si>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</si>
  <si>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</si>
  <si>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</si>
  <si>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</si>
  <si>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</si>
  <si>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</si>
  <si>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</si>
  <si>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</si>
  <si>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</si>
  <si>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</si>
  <si>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</si>
  <si>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</si>
  <si>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</si>
  <si>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</si>
  <si>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</si>
  <si>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</si>
  <si>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</si>
  <si>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</si>
  <si>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</si>
  <si>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</si>
  <si>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</si>
  <si>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</si>
  <si>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</si>
  <si>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</si>
  <si>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</si>
  <si>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</si>
  <si>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</si>
  <si>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</si>
  <si>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</si>
  <si>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</si>
  <si>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</si>
  <si>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</si>
  <si>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</si>
  <si>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</si>
  <si>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</si>
  <si>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</si>
  <si>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</si>
  <si>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</si>
  <si>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</si>
  <si>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</si>
  <si>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</si>
  <si>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</si>
  <si>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</si>
  <si>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</si>
  <si>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</si>
  <si>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</si>
  <si>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</si>
  <si>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</si>
  <si>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</si>
  <si>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</si>
  <si>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</si>
  <si>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</si>
  <si>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</si>
  <si>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</si>
  <si>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</si>
  <si>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</si>
  <si>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</si>
  <si>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</si>
  <si>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</si>
  <si>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</si>
  <si>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</si>
  <si>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</si>
  <si>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</si>
  <si>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</si>
  <si>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</si>
  <si>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</si>
  <si>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</si>
  <si>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</si>
  <si>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</si>
  <si>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</si>
  <si>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</si>
  <si>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</si>
  <si>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</si>
  <si>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</si>
  <si>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</si>
  <si>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</si>
  <si>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</si>
  <si>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</si>
  <si>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</si>
  <si>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</si>
  <si>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</si>
  <si>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</si>
  <si>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</si>
  <si>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</si>
  <si>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</si>
  <si>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</si>
  <si>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</si>
  <si>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</si>
  <si>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</si>
  <si>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</si>
  <si>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</si>
  <si>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</si>
  <si>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</si>
  <si>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</si>
  <si>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</si>
  <si>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</si>
  <si>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</si>
  <si>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</si>
  <si>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</si>
  <si>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</si>
  <si>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</si>
  <si>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</si>
  <si>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</si>
  <si>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</si>
  <si>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</si>
  <si>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</si>
  <si>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</si>
  <si>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</si>
  <si>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</si>
  <si>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</si>
  <si>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</si>
  <si>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</si>
  <si>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</si>
  <si>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</si>
  <si>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</si>
  <si>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</si>
  <si>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</si>
  <si>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</si>
  <si>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</si>
  <si>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</si>
  <si>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</si>
  <si>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</si>
  <si>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</si>
  <si>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</si>
  <si>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</si>
  <si>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</si>
  <si>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</si>
  <si>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</si>
  <si>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</si>
  <si>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</si>
  <si>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</si>
  <si>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</si>
  <si>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</si>
  <si>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</si>
  <si>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</si>
  <si>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</si>
  <si>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</si>
  <si>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</si>
  <si>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</si>
  <si>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</si>
  <si>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</si>
  <si>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</si>
  <si>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</si>
  <si>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</si>
  <si>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</si>
  <si>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</si>
  <si>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</si>
  <si>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</si>
  <si>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</si>
  <si>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</si>
  <si>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</si>
  <si>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</si>
  <si>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</si>
  <si>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</si>
  <si>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</si>
  <si>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</si>
  <si>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</si>
  <si>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</si>
  <si>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</si>
  <si>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</si>
  <si>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</si>
  <si>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</si>
  <si>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</si>
  <si>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</si>
  <si>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</si>
  <si>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</si>
  <si>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</si>
  <si>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</si>
  <si>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</si>
  <si>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</si>
  <si>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</si>
  <si>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</si>
  <si>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</si>
  <si>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</si>
  <si>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</si>
  <si>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</si>
  <si>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</si>
  <si>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</si>
  <si>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</si>
  <si>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</si>
  <si>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</si>
  <si>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</si>
  <si>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</si>
  <si>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</si>
  <si>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</si>
  <si>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</si>
  <si>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</si>
  <si>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</si>
  <si>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</si>
  <si>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</si>
  <si>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</si>
  <si>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</si>
  <si>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</si>
  <si>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</si>
  <si>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</si>
  <si>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</si>
  <si>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</si>
  <si>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</si>
  <si>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</si>
  <si>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</si>
  <si>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</si>
  <si>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</si>
  <si>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</si>
  <si>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</si>
  <si>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</si>
  <si>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</si>
  <si>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</si>
  <si>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</si>
  <si>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</si>
  <si>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</si>
  <si>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</si>
  <si>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</si>
  <si>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华漕学校</t>
  </si>
  <si>
    <t>纪王学校</t>
  </si>
  <si>
    <t>诸翟学校</t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</si>
  <si>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</si>
  <si>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</si>
  <si>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</si>
  <si>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</si>
  <si>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</si>
  <si>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华漕镇镇合计</t>
    <phoneticPr fontId="3" type="noConversion"/>
  </si>
  <si>
    <t>历年教育费附加</t>
    <phoneticPr fontId="3" type="noConversion"/>
  </si>
  <si>
    <t>其中21611历年教育费附加</t>
    <phoneticPr fontId="3" type="noConversion"/>
  </si>
  <si>
    <t>2023年镇级单位中小学教育教学项目（普教一科）</t>
    <phoneticPr fontId="3" type="noConversion"/>
  </si>
  <si>
    <t>体育课程</t>
    <phoneticPr fontId="3" type="noConversion"/>
  </si>
  <si>
    <t>华漕</t>
    <phoneticPr fontId="3" type="noConversion"/>
  </si>
  <si>
    <t>跨学科学习空间</t>
    <phoneticPr fontId="3" type="noConversion"/>
  </si>
  <si>
    <t>姓名</t>
  </si>
  <si>
    <t>合计</t>
    <phoneticPr fontId="3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</si>
  <si>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</si>
  <si>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</si>
  <si>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</si>
  <si>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</si>
  <si>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</si>
  <si>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</si>
  <si>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宋张莹</t>
  </si>
  <si>
    <t>华漕镇</t>
    <phoneticPr fontId="3" type="noConversion"/>
  </si>
  <si>
    <t>朱翊辰</t>
  </si>
  <si>
    <t>沈天怡</t>
  </si>
  <si>
    <t>徐澄</t>
  </si>
  <si>
    <t>王旭</t>
  </si>
  <si>
    <t>2023年储备教师预算（8-12月）</t>
    <phoneticPr fontId="3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</si>
  <si>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</si>
  <si>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</si>
  <si>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</si>
  <si>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　　　　2、失业保险0.5%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</si>
  <si>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</si>
  <si>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</si>
  <si>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</si>
  <si>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</si>
  <si>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</si>
  <si>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</si>
  <si>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</si>
  <si>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</si>
  <si>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>根据人事口径按实编制</t>
    <phoneticPr fontId="4" type="noConversion"/>
  </si>
  <si>
    <t xml:space="preserve">    其他工资福利</t>
    <phoneticPr fontId="4" type="noConversion"/>
  </si>
  <si>
    <t>年初预算为0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</si>
  <si>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</si>
  <si>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</si>
  <si>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</si>
  <si>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</si>
  <si>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</si>
  <si>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</si>
  <si>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</si>
  <si>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</si>
  <si>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</si>
  <si>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</si>
  <si>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</si>
  <si>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</si>
  <si>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</si>
  <si>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</si>
  <si>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</si>
  <si>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</si>
  <si>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</si>
  <si>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</si>
  <si>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</si>
  <si>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</si>
  <si>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</si>
  <si>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</si>
  <si>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</si>
  <si>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</si>
  <si>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</si>
  <si>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</si>
  <si>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</si>
  <si>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</si>
  <si>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</si>
  <si>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</si>
  <si>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</si>
  <si>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华漕幼儿园</t>
    <phoneticPr fontId="4" type="noConversion"/>
  </si>
  <si>
    <t>诸翟学校</t>
    <phoneticPr fontId="4" type="noConversion"/>
  </si>
  <si>
    <t>金色幼儿园</t>
    <phoneticPr fontId="4" type="noConversion"/>
  </si>
  <si>
    <t>华漕学校</t>
    <phoneticPr fontId="4" type="noConversion"/>
  </si>
  <si>
    <t>纪王幼儿园</t>
    <phoneticPr fontId="4" type="noConversion"/>
  </si>
  <si>
    <t>社区学校</t>
    <phoneticPr fontId="4" type="noConversion"/>
  </si>
  <si>
    <t>纪王学校</t>
    <phoneticPr fontId="4" type="noConversion"/>
  </si>
  <si>
    <t>诸翟幼儿园</t>
    <phoneticPr fontId="4" type="noConversion"/>
  </si>
  <si>
    <t>一次分配</t>
    <phoneticPr fontId="4" type="noConversion"/>
  </si>
  <si>
    <t>四次分配</t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</si>
  <si>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</si>
  <si>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</si>
  <si>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</si>
  <si>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</si>
  <si>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上海市闵行区华漕学校</t>
    <phoneticPr fontId="3" type="noConversion"/>
  </si>
  <si>
    <t>上海市闵行区诸翟学校</t>
    <phoneticPr fontId="3" type="noConversion"/>
  </si>
  <si>
    <t>上海市闵行区纪王学校</t>
    <phoneticPr fontId="3" type="noConversion"/>
  </si>
  <si>
    <t>上海市闵行区华漕镇社区学校</t>
    <phoneticPr fontId="3" type="noConversion"/>
  </si>
  <si>
    <t>华漕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</si>
  <si>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</si>
  <si>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</si>
  <si>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</si>
  <si>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上海市闵行区华漕学校</t>
    <phoneticPr fontId="3" type="noConversion"/>
  </si>
  <si>
    <t>上海市闵行区诸翟学校</t>
    <phoneticPr fontId="3" type="noConversion"/>
  </si>
  <si>
    <t>上海市闵行区纪王学校</t>
    <phoneticPr fontId="3" type="noConversion"/>
  </si>
  <si>
    <t>闵行区华漕镇中心幼儿园</t>
    <phoneticPr fontId="3" type="noConversion"/>
  </si>
  <si>
    <t>上海市闵行区诸翟中心幼儿园</t>
    <phoneticPr fontId="3" type="noConversion"/>
  </si>
  <si>
    <t>闵行区华漕镇纪王幼儿园</t>
    <phoneticPr fontId="3" type="noConversion"/>
  </si>
  <si>
    <t>上海市闵行区华漕镇金色幼儿园</t>
    <phoneticPr fontId="3" type="noConversion"/>
  </si>
  <si>
    <t>上海市闵行区华漕镇社区学校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</si>
  <si>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</si>
  <si>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</si>
  <si>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</si>
  <si>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</si>
  <si>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</si>
  <si>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华漕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</si>
  <si>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</si>
  <si>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</si>
  <si>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</si>
  <si>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</si>
  <si>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</si>
  <si>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</si>
  <si>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</si>
  <si>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</si>
  <si>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</si>
  <si>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</si>
  <si>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</si>
  <si>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</si>
  <si>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</si>
  <si>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2023年镇管学校保安经费预算表</t>
    <phoneticPr fontId="4" type="noConversion"/>
  </si>
  <si>
    <r>
      <rPr>
        <sz val="11"/>
        <rFont val="宋体"/>
        <family val="3"/>
        <charset val="134"/>
      </rPr>
      <t>学校名称</t>
    </r>
    <phoneticPr fontId="4" type="noConversion"/>
  </si>
  <si>
    <r>
      <rPr>
        <sz val="11"/>
        <color indexed="8"/>
        <rFont val="宋体"/>
        <family val="3"/>
        <charset val="134"/>
      </rPr>
      <t>所属街镇</t>
    </r>
    <phoneticPr fontId="4" type="noConversion"/>
  </si>
  <si>
    <t>所属大队</t>
    <phoneticPr fontId="4" type="noConversion"/>
  </si>
  <si>
    <t>70%下达</t>
    <phoneticPr fontId="4" type="noConversion"/>
  </si>
  <si>
    <t>统筹四次承担</t>
    <phoneticPr fontId="4" type="noConversion"/>
  </si>
  <si>
    <t>学前</t>
    <phoneticPr fontId="3" type="noConversion"/>
  </si>
  <si>
    <t>农民工小学</t>
    <phoneticPr fontId="3" type="noConversion"/>
  </si>
  <si>
    <t>初中</t>
    <phoneticPr fontId="4" type="noConversion"/>
  </si>
  <si>
    <t>总园</t>
    <phoneticPr fontId="4" type="noConversion"/>
  </si>
  <si>
    <t>分园</t>
    <phoneticPr fontId="4" type="noConversion"/>
  </si>
  <si>
    <t>一</t>
    <phoneticPr fontId="4" type="noConversion"/>
  </si>
  <si>
    <r>
      <rPr>
        <sz val="10"/>
        <rFont val="宋体"/>
        <family val="3"/>
        <charset val="134"/>
      </rPr>
      <t>纪王学校</t>
    </r>
    <phoneticPr fontId="4" type="noConversion"/>
  </si>
  <si>
    <t>华漕镇</t>
    <phoneticPr fontId="4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</si>
  <si>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4" type="noConversion"/>
  </si>
  <si>
    <r>
      <rPr>
        <sz val="10"/>
        <rFont val="宋体"/>
        <family val="3"/>
        <charset val="134"/>
      </rPr>
      <t>诸翟学校</t>
    </r>
    <phoneticPr fontId="4" type="noConversion"/>
  </si>
  <si>
    <r>
      <rPr>
        <sz val="10"/>
        <rFont val="宋体"/>
        <family val="3"/>
        <charset val="134"/>
      </rPr>
      <t>华漕学校</t>
    </r>
    <phoneticPr fontId="4" type="noConversion"/>
  </si>
  <si>
    <r>
      <rPr>
        <sz val="10"/>
        <rFont val="宋体"/>
        <family val="3"/>
        <charset val="134"/>
      </rPr>
      <t>诸翟中心幼儿园</t>
    </r>
    <phoneticPr fontId="4" type="noConversion"/>
  </si>
  <si>
    <t>一</t>
  </si>
  <si>
    <r>
      <rPr>
        <sz val="10"/>
        <rFont val="宋体"/>
        <family val="3"/>
        <charset val="134"/>
      </rPr>
      <t>纪王中心幼儿园</t>
    </r>
    <phoneticPr fontId="4" type="noConversion"/>
  </si>
  <si>
    <r>
      <rPr>
        <sz val="10"/>
        <rFont val="宋体"/>
        <family val="3"/>
        <charset val="134"/>
      </rPr>
      <t>华漕幼儿园</t>
    </r>
    <phoneticPr fontId="4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</si>
  <si>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4" type="noConversion"/>
  </si>
  <si>
    <t>申长部</t>
    <phoneticPr fontId="4" type="noConversion"/>
  </si>
  <si>
    <t>北沈部</t>
    <phoneticPr fontId="4" type="noConversion"/>
  </si>
  <si>
    <t>华博利星行</t>
    <phoneticPr fontId="3" type="noConversion"/>
  </si>
  <si>
    <t>（华漕）</t>
    <phoneticPr fontId="3" type="noConversion"/>
  </si>
  <si>
    <t>（纪王）</t>
  </si>
  <si>
    <r>
      <rPr>
        <sz val="10"/>
        <rFont val="宋体"/>
        <family val="3"/>
        <charset val="134"/>
      </rPr>
      <t>摩根亨利幼儿园</t>
    </r>
  </si>
  <si>
    <r>
      <rPr>
        <sz val="9"/>
        <rFont val="宋体"/>
        <family val="3"/>
        <charset val="134"/>
      </rPr>
      <t>民办红卫幼儿园</t>
    </r>
  </si>
  <si>
    <r>
      <rPr>
        <sz val="9"/>
        <color indexed="8"/>
        <rFont val="宋体"/>
        <family val="3"/>
        <charset val="134"/>
      </rPr>
      <t>民办梦哆啦幼儿园</t>
    </r>
  </si>
  <si>
    <r>
      <rPr>
        <sz val="9"/>
        <color indexed="8"/>
        <rFont val="宋体"/>
        <family val="3"/>
        <charset val="134"/>
      </rPr>
      <t>民办华漕航隆幼儿园</t>
    </r>
  </si>
  <si>
    <r>
      <rPr>
        <sz val="9"/>
        <rFont val="微软雅黑"/>
        <family val="2"/>
        <charset val="134"/>
      </rPr>
      <t>上外初中</t>
    </r>
    <phoneticPr fontId="4" type="noConversion"/>
  </si>
  <si>
    <r>
      <rPr>
        <sz val="9"/>
        <rFont val="微软雅黑"/>
        <family val="2"/>
        <charset val="134"/>
      </rPr>
      <t>诺德安达学校</t>
    </r>
    <phoneticPr fontId="4" type="noConversion"/>
  </si>
  <si>
    <r>
      <rPr>
        <sz val="9"/>
        <rFont val="微软雅黑"/>
        <family val="2"/>
        <charset val="134"/>
      </rPr>
      <t>民办美高学校</t>
    </r>
    <phoneticPr fontId="4" type="noConversion"/>
  </si>
  <si>
    <t>华漕小计</t>
    <phoneticPr fontId="4" type="noConversion"/>
  </si>
  <si>
    <t>统筹四次承担</t>
    <phoneticPr fontId="3" type="noConversion"/>
  </si>
  <si>
    <t>附加三次承担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</si>
  <si>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</si>
  <si>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</si>
  <si>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</si>
  <si>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</si>
  <si>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</si>
  <si>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</si>
  <si>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</si>
  <si>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校区
门数</t>
    <phoneticPr fontId="4" type="noConversion"/>
  </si>
  <si>
    <t>在岗
人数</t>
    <phoneticPr fontId="4" type="noConversion"/>
  </si>
  <si>
    <t>值班
单价</t>
    <phoneticPr fontId="4" type="noConversion"/>
  </si>
  <si>
    <t>值班
金额</t>
    <phoneticPr fontId="4" type="noConversion"/>
  </si>
  <si>
    <t>附加三次
分配</t>
    <phoneticPr fontId="4" type="noConversion"/>
  </si>
  <si>
    <t>2023年基本支出调整预算表（华漕）</t>
    <phoneticPr fontId="4" type="noConversion"/>
  </si>
  <si>
    <t>华漕镇：</t>
    <phoneticPr fontId="4" type="noConversion"/>
  </si>
  <si>
    <t>单位：元</t>
    <phoneticPr fontId="3" type="noConversion"/>
  </si>
  <si>
    <t>项目</t>
    <phoneticPr fontId="4" type="noConversion"/>
  </si>
  <si>
    <t>核定金额</t>
    <phoneticPr fontId="3" type="noConversion"/>
  </si>
  <si>
    <t>减：历年下达</t>
    <phoneticPr fontId="3" type="noConversion"/>
  </si>
  <si>
    <t>设备购置与更新</t>
    <phoneticPr fontId="3" type="noConversion"/>
  </si>
  <si>
    <t>2023年教育统筹经费第四次分配明细表</t>
    <phoneticPr fontId="3" type="noConversion"/>
  </si>
  <si>
    <t>其中：教育局</t>
    <phoneticPr fontId="3" type="noConversion"/>
  </si>
  <si>
    <t>其中：乡镇（工业区）</t>
    <phoneticPr fontId="3" type="noConversion"/>
  </si>
  <si>
    <t>四次分配合计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</si>
  <si>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</si>
  <si>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</si>
  <si>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</si>
  <si>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残疾就业保障</t>
    <phoneticPr fontId="3" type="noConversion"/>
  </si>
  <si>
    <t>补充公用经费</t>
    <phoneticPr fontId="3" type="noConversion"/>
  </si>
  <si>
    <t>抚恤金</t>
    <phoneticPr fontId="3" type="noConversion"/>
  </si>
  <si>
    <t>储备教师</t>
    <phoneticPr fontId="3" type="noConversion"/>
  </si>
  <si>
    <t>保安经费</t>
    <phoneticPr fontId="3" type="noConversion"/>
  </si>
  <si>
    <t>社区教育经费</t>
    <phoneticPr fontId="3" type="noConversion"/>
  </si>
  <si>
    <t>中小学教育教学</t>
    <phoneticPr fontId="3" type="noConversion"/>
  </si>
  <si>
    <t>科艺体德专项</t>
    <phoneticPr fontId="3" type="noConversion"/>
  </si>
</sst>
</file>

<file path=xl/styles.xml><?xml version="1.0" encoding="utf-8"?>
<styleSheet xmlns="http://schemas.openxmlformats.org/spreadsheetml/2006/main">
  <numFmts count="19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_ ;\-0;"/>
    <numFmt numFmtId="191" formatCode="0.00_ ;\-0.00;"/>
    <numFmt numFmtId="192" formatCode="0.00000_ ;\-0.00000;"/>
  </numFmts>
  <fonts count="146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087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72" fillId="0" borderId="1" xfId="0" applyFont="1" applyBorder="1" applyAlignment="1">
      <alignment horizontal="left" vertical="center"/>
    </xf>
    <xf numFmtId="0" fontId="59" fillId="0" borderId="1" xfId="0" applyFont="1" applyBorder="1" applyAlignment="1">
      <alignment vertical="center"/>
    </xf>
    <xf numFmtId="0" fontId="59" fillId="0" borderId="24" xfId="0" applyFont="1" applyBorder="1" applyAlignment="1">
      <alignment horizontal="center" vertical="center"/>
    </xf>
    <xf numFmtId="0" fontId="72" fillId="0" borderId="24" xfId="0" applyFont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59" fillId="0" borderId="24" xfId="0" applyNumberFormat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8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horizontal="center"/>
      <protection locked="0"/>
    </xf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" xfId="0" applyFont="1" applyFill="1" applyBorder="1" applyAlignment="1">
      <alignment horizontal="center"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0" fontId="136" fillId="2" borderId="0" xfId="0" applyFont="1" applyFill="1" applyAlignment="1">
      <alignment horizontal="center" vertical="center"/>
    </xf>
    <xf numFmtId="0" fontId="138" fillId="2" borderId="0" xfId="0" applyFont="1" applyFill="1" applyAlignment="1">
      <alignment horizontal="center" vertical="center"/>
    </xf>
    <xf numFmtId="177" fontId="136" fillId="2" borderId="0" xfId="2001" applyNumberFormat="1" applyFont="1" applyFill="1" applyAlignment="1">
      <alignment horizontal="center" vertical="center"/>
    </xf>
    <xf numFmtId="177" fontId="136" fillId="2" borderId="0" xfId="0" applyNumberFormat="1" applyFont="1" applyFill="1" applyAlignment="1">
      <alignment horizontal="center" vertical="center"/>
    </xf>
    <xf numFmtId="0" fontId="136" fillId="2" borderId="0" xfId="0" applyFont="1" applyFill="1" applyAlignment="1">
      <alignment horizontal="left" vertical="center"/>
    </xf>
    <xf numFmtId="0" fontId="115" fillId="2" borderId="34" xfId="0" applyFont="1" applyFill="1" applyBorder="1" applyAlignment="1">
      <alignment horizontal="center" vertical="center"/>
    </xf>
    <xf numFmtId="0" fontId="136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177" fontId="115" fillId="2" borderId="1" xfId="2001" applyNumberFormat="1" applyFont="1" applyFill="1" applyBorder="1" applyAlignment="1">
      <alignment horizontal="center" vertical="center" wrapText="1"/>
    </xf>
    <xf numFmtId="177" fontId="115" fillId="2" borderId="1" xfId="0" applyNumberFormat="1" applyFont="1" applyFill="1" applyBorder="1" applyAlignment="1">
      <alignment horizontal="center" vertical="center" wrapText="1"/>
    </xf>
    <xf numFmtId="0" fontId="21" fillId="2" borderId="34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177" fontId="47" fillId="3" borderId="1" xfId="2001" applyNumberFormat="1" applyFont="1" applyFill="1" applyBorder="1" applyAlignment="1">
      <alignment horizontal="center" vertical="center"/>
    </xf>
    <xf numFmtId="43" fontId="138" fillId="3" borderId="1" xfId="0" applyNumberFormat="1" applyFont="1" applyFill="1" applyBorder="1" applyAlignment="1">
      <alignment horizontal="left" vertical="center"/>
    </xf>
    <xf numFmtId="0" fontId="138" fillId="3" borderId="1" xfId="0" applyNumberFormat="1" applyFont="1" applyFill="1" applyBorder="1" applyAlignment="1">
      <alignment horizontal="center" vertical="center"/>
    </xf>
    <xf numFmtId="0" fontId="20" fillId="2" borderId="34" xfId="0" applyFont="1" applyFill="1" applyBorder="1" applyAlignment="1">
      <alignment horizontal="center" vertical="center"/>
    </xf>
    <xf numFmtId="0" fontId="24" fillId="2" borderId="25" xfId="0" applyFont="1" applyFill="1" applyBorder="1" applyAlignment="1">
      <alignment horizontal="center" vertical="center"/>
    </xf>
    <xf numFmtId="0" fontId="47" fillId="2" borderId="1" xfId="0" applyFont="1" applyFill="1" applyBorder="1" applyAlignment="1">
      <alignment horizontal="center" vertical="center"/>
    </xf>
    <xf numFmtId="177" fontId="47" fillId="2" borderId="1" xfId="2001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138" fillId="2" borderId="34" xfId="0" applyFont="1" applyFill="1" applyBorder="1" applyAlignment="1">
      <alignment horizontal="center" vertical="center"/>
    </xf>
    <xf numFmtId="0" fontId="138" fillId="2" borderId="1" xfId="0" applyFont="1" applyFill="1" applyBorder="1" applyAlignment="1">
      <alignment horizontal="center" vertical="center"/>
    </xf>
    <xf numFmtId="0" fontId="20" fillId="2" borderId="36" xfId="0" applyFont="1" applyFill="1" applyBorder="1" applyAlignment="1">
      <alignment horizontal="center" vertical="center"/>
    </xf>
    <xf numFmtId="0" fontId="138" fillId="19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178" fontId="138" fillId="19" borderId="1" xfId="0" applyNumberFormat="1" applyFont="1" applyFill="1" applyBorder="1" applyAlignment="1">
      <alignment horizontal="center" vertical="center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6" fillId="0" borderId="0" xfId="0" applyFont="1">
      <alignment vertical="center"/>
    </xf>
    <xf numFmtId="191" fontId="8" fillId="3" borderId="1" xfId="0" applyNumberFormat="1" applyFont="1" applyFill="1" applyBorder="1" applyAlignment="1" applyProtection="1"/>
    <xf numFmtId="49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190" fontId="8" fillId="3" borderId="1" xfId="0" applyNumberFormat="1" applyFont="1" applyFill="1" applyBorder="1" applyAlignment="1" applyProtection="1"/>
    <xf numFmtId="192" fontId="8" fillId="3" borderId="1" xfId="0" applyNumberFormat="1" applyFont="1" applyFill="1" applyBorder="1" applyAlignment="1" applyProtection="1"/>
    <xf numFmtId="191" fontId="8" fillId="3" borderId="1" xfId="0" applyNumberFormat="1" applyFont="1" applyFill="1" applyBorder="1" applyAlignment="1" applyProtection="1">
      <protection locked="0"/>
    </xf>
    <xf numFmtId="191" fontId="4" fillId="3" borderId="1" xfId="0" applyNumberFormat="1" applyFont="1" applyFill="1" applyBorder="1" applyAlignment="1" applyProtection="1">
      <protection locked="0"/>
    </xf>
    <xf numFmtId="191" fontId="4" fillId="3" borderId="1" xfId="0" applyNumberFormat="1" applyFont="1" applyFill="1" applyBorder="1" applyAlignment="1" applyProtection="1"/>
    <xf numFmtId="43" fontId="4" fillId="3" borderId="1" xfId="1673" applyFont="1" applyFill="1" applyBorder="1" applyAlignment="1" applyProtection="1">
      <protection locked="0"/>
    </xf>
    <xf numFmtId="176" fontId="72" fillId="3" borderId="1" xfId="0" applyNumberFormat="1" applyFont="1" applyFill="1" applyBorder="1" applyAlignment="1" applyProtection="1">
      <protection locked="0"/>
    </xf>
    <xf numFmtId="0" fontId="142" fillId="0" borderId="0" xfId="0" applyNumberFormat="1" applyFont="1" applyAlignment="1">
      <alignment horizontal="right" vertical="center"/>
    </xf>
    <xf numFmtId="0" fontId="143" fillId="0" borderId="1" xfId="0" applyNumberFormat="1" applyFont="1" applyBorder="1" applyAlignment="1">
      <alignment horizontal="center" vertical="center"/>
    </xf>
    <xf numFmtId="0" fontId="143" fillId="0" borderId="1" xfId="0" applyNumberFormat="1" applyFont="1" applyFill="1" applyBorder="1" applyAlignment="1">
      <alignment horizontal="center" vertical="center"/>
    </xf>
    <xf numFmtId="178" fontId="144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45" fillId="0" borderId="1" xfId="0" applyNumberFormat="1" applyFont="1" applyBorder="1">
      <alignment vertical="center"/>
    </xf>
    <xf numFmtId="0" fontId="141" fillId="0" borderId="0" xfId="0" applyNumberFormat="1" applyFont="1" applyBorder="1" applyAlignment="1">
      <alignment vertical="center"/>
    </xf>
    <xf numFmtId="189" fontId="0" fillId="0" borderId="0" xfId="0" applyNumberFormat="1" applyBorder="1" applyAlignment="1">
      <alignment vertical="center"/>
    </xf>
    <xf numFmtId="0" fontId="140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178" fontId="0" fillId="3" borderId="33" xfId="0" applyNumberFormat="1" applyFill="1" applyBorder="1" applyAlignment="1">
      <alignment horizontal="center" vertical="center" wrapText="1"/>
    </xf>
    <xf numFmtId="178" fontId="0" fillId="3" borderId="3" xfId="0" applyNumberFormat="1" applyFill="1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/>
    <xf numFmtId="0" fontId="16" fillId="0" borderId="32" xfId="0" applyFont="1" applyBorder="1" applyAlignment="1">
      <alignment horizontal="center" vertical="center"/>
    </xf>
    <xf numFmtId="0" fontId="135" fillId="2" borderId="3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37" fillId="2" borderId="34" xfId="0" applyFont="1" applyFill="1" applyBorder="1" applyAlignment="1">
      <alignment horizontal="center" vertical="center"/>
    </xf>
    <xf numFmtId="0" fontId="137" fillId="2" borderId="35" xfId="0" applyFont="1" applyFill="1" applyBorder="1" applyAlignment="1">
      <alignment horizontal="center" vertical="center"/>
    </xf>
    <xf numFmtId="0" fontId="47" fillId="2" borderId="34" xfId="0" applyFont="1" applyFill="1" applyBorder="1" applyAlignment="1">
      <alignment horizontal="center" vertical="center"/>
    </xf>
    <xf numFmtId="0" fontId="47" fillId="2" borderId="35" xfId="0" applyFont="1" applyFill="1" applyBorder="1" applyAlignment="1">
      <alignment horizontal="center" vertical="center"/>
    </xf>
    <xf numFmtId="0" fontId="47" fillId="0" borderId="34" xfId="0" applyFont="1" applyBorder="1" applyAlignment="1">
      <alignment horizontal="center" vertical="center" wrapText="1"/>
    </xf>
    <xf numFmtId="0" fontId="0" fillId="0" borderId="36" xfId="0" applyFont="1" applyBorder="1" applyAlignment="1">
      <alignment horizontal="center" vertical="center"/>
    </xf>
    <xf numFmtId="0" fontId="24" fillId="19" borderId="36" xfId="0" applyFont="1" applyFill="1" applyBorder="1" applyAlignment="1">
      <alignment horizontal="center" vertical="center"/>
    </xf>
    <xf numFmtId="0" fontId="138" fillId="19" borderId="36" xfId="0" applyFont="1" applyFill="1" applyBorder="1" applyAlignment="1">
      <alignment horizontal="center" vertical="center"/>
    </xf>
    <xf numFmtId="0" fontId="138" fillId="19" borderId="35" xfId="0" applyFont="1" applyFill="1" applyBorder="1" applyAlignment="1">
      <alignment horizontal="center"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"/>
  <sheetViews>
    <sheetView tabSelected="1" workbookViewId="0">
      <selection activeCell="B5" sqref="B5:B16"/>
    </sheetView>
  </sheetViews>
  <sheetFormatPr defaultColWidth="9" defaultRowHeight="13.5"/>
  <cols>
    <col min="1" max="1" width="8.25" style="281" customWidth="1"/>
    <col min="2" max="2" width="27" style="798" customWidth="1"/>
    <col min="3" max="6" width="15.625" style="281" customWidth="1"/>
    <col min="7" max="7" width="20.875" style="281" customWidth="1"/>
    <col min="8" max="250" width="9" style="281"/>
    <col min="251" max="251" width="6.625" style="281" customWidth="1"/>
    <col min="252" max="253" width="21.625" style="281" customWidth="1"/>
    <col min="254" max="254" width="16.125" style="281" bestFit="1" customWidth="1"/>
    <col min="255" max="255" width="13.875" style="281" bestFit="1" customWidth="1"/>
    <col min="256" max="256" width="17.25" style="281" bestFit="1" customWidth="1"/>
    <col min="257" max="258" width="20.5" style="281" bestFit="1" customWidth="1"/>
    <col min="259" max="259" width="0" style="281" hidden="1" customWidth="1"/>
    <col min="260" max="260" width="18.375" style="281" bestFit="1" customWidth="1"/>
    <col min="261" max="262" width="0" style="281" hidden="1" customWidth="1"/>
    <col min="263" max="506" width="9" style="281"/>
    <col min="507" max="507" width="6.625" style="281" customWidth="1"/>
    <col min="508" max="509" width="21.625" style="281" customWidth="1"/>
    <col min="510" max="510" width="16.125" style="281" bestFit="1" customWidth="1"/>
    <col min="511" max="511" width="13.875" style="281" bestFit="1" customWidth="1"/>
    <col min="512" max="512" width="17.25" style="281" bestFit="1" customWidth="1"/>
    <col min="513" max="514" width="20.5" style="281" bestFit="1" customWidth="1"/>
    <col min="515" max="515" width="0" style="281" hidden="1" customWidth="1"/>
    <col min="516" max="516" width="18.375" style="281" bestFit="1" customWidth="1"/>
    <col min="517" max="518" width="0" style="281" hidden="1" customWidth="1"/>
    <col min="519" max="762" width="9" style="281"/>
    <col min="763" max="763" width="6.625" style="281" customWidth="1"/>
    <col min="764" max="765" width="21.625" style="281" customWidth="1"/>
    <col min="766" max="766" width="16.125" style="281" bestFit="1" customWidth="1"/>
    <col min="767" max="767" width="13.875" style="281" bestFit="1" customWidth="1"/>
    <col min="768" max="768" width="17.25" style="281" bestFit="1" customWidth="1"/>
    <col min="769" max="770" width="20.5" style="281" bestFit="1" customWidth="1"/>
    <col min="771" max="771" width="0" style="281" hidden="1" customWidth="1"/>
    <col min="772" max="772" width="18.375" style="281" bestFit="1" customWidth="1"/>
    <col min="773" max="774" width="0" style="281" hidden="1" customWidth="1"/>
    <col min="775" max="1018" width="9" style="281"/>
    <col min="1019" max="1019" width="6.625" style="281" customWidth="1"/>
    <col min="1020" max="1021" width="21.625" style="281" customWidth="1"/>
    <col min="1022" max="1022" width="16.125" style="281" bestFit="1" customWidth="1"/>
    <col min="1023" max="1023" width="13.875" style="281" bestFit="1" customWidth="1"/>
    <col min="1024" max="1024" width="17.25" style="281" bestFit="1" customWidth="1"/>
    <col min="1025" max="1026" width="20.5" style="281" bestFit="1" customWidth="1"/>
    <col min="1027" max="1027" width="0" style="281" hidden="1" customWidth="1"/>
    <col min="1028" max="1028" width="18.375" style="281" bestFit="1" customWidth="1"/>
    <col min="1029" max="1030" width="0" style="281" hidden="1" customWidth="1"/>
    <col min="1031" max="1274" width="9" style="281"/>
    <col min="1275" max="1275" width="6.625" style="281" customWidth="1"/>
    <col min="1276" max="1277" width="21.625" style="281" customWidth="1"/>
    <col min="1278" max="1278" width="16.125" style="281" bestFit="1" customWidth="1"/>
    <col min="1279" max="1279" width="13.875" style="281" bestFit="1" customWidth="1"/>
    <col min="1280" max="1280" width="17.25" style="281" bestFit="1" customWidth="1"/>
    <col min="1281" max="1282" width="20.5" style="281" bestFit="1" customWidth="1"/>
    <col min="1283" max="1283" width="0" style="281" hidden="1" customWidth="1"/>
    <col min="1284" max="1284" width="18.375" style="281" bestFit="1" customWidth="1"/>
    <col min="1285" max="1286" width="0" style="281" hidden="1" customWidth="1"/>
    <col min="1287" max="1530" width="9" style="281"/>
    <col min="1531" max="1531" width="6.625" style="281" customWidth="1"/>
    <col min="1532" max="1533" width="21.625" style="281" customWidth="1"/>
    <col min="1534" max="1534" width="16.125" style="281" bestFit="1" customWidth="1"/>
    <col min="1535" max="1535" width="13.875" style="281" bestFit="1" customWidth="1"/>
    <col min="1536" max="1536" width="17.25" style="281" bestFit="1" customWidth="1"/>
    <col min="1537" max="1538" width="20.5" style="281" bestFit="1" customWidth="1"/>
    <col min="1539" max="1539" width="0" style="281" hidden="1" customWidth="1"/>
    <col min="1540" max="1540" width="18.375" style="281" bestFit="1" customWidth="1"/>
    <col min="1541" max="1542" width="0" style="281" hidden="1" customWidth="1"/>
    <col min="1543" max="1786" width="9" style="281"/>
    <col min="1787" max="1787" width="6.625" style="281" customWidth="1"/>
    <col min="1788" max="1789" width="21.625" style="281" customWidth="1"/>
    <col min="1790" max="1790" width="16.125" style="281" bestFit="1" customWidth="1"/>
    <col min="1791" max="1791" width="13.875" style="281" bestFit="1" customWidth="1"/>
    <col min="1792" max="1792" width="17.25" style="281" bestFit="1" customWidth="1"/>
    <col min="1793" max="1794" width="20.5" style="281" bestFit="1" customWidth="1"/>
    <col min="1795" max="1795" width="0" style="281" hidden="1" customWidth="1"/>
    <col min="1796" max="1796" width="18.375" style="281" bestFit="1" customWidth="1"/>
    <col min="1797" max="1798" width="0" style="281" hidden="1" customWidth="1"/>
    <col min="1799" max="2042" width="9" style="281"/>
    <col min="2043" max="2043" width="6.625" style="281" customWidth="1"/>
    <col min="2044" max="2045" width="21.625" style="281" customWidth="1"/>
    <col min="2046" max="2046" width="16.125" style="281" bestFit="1" customWidth="1"/>
    <col min="2047" max="2047" width="13.875" style="281" bestFit="1" customWidth="1"/>
    <col min="2048" max="2048" width="17.25" style="281" bestFit="1" customWidth="1"/>
    <col min="2049" max="2050" width="20.5" style="281" bestFit="1" customWidth="1"/>
    <col min="2051" max="2051" width="0" style="281" hidden="1" customWidth="1"/>
    <col min="2052" max="2052" width="18.375" style="281" bestFit="1" customWidth="1"/>
    <col min="2053" max="2054" width="0" style="281" hidden="1" customWidth="1"/>
    <col min="2055" max="2298" width="9" style="281"/>
    <col min="2299" max="2299" width="6.625" style="281" customWidth="1"/>
    <col min="2300" max="2301" width="21.625" style="281" customWidth="1"/>
    <col min="2302" max="2302" width="16.125" style="281" bestFit="1" customWidth="1"/>
    <col min="2303" max="2303" width="13.875" style="281" bestFit="1" customWidth="1"/>
    <col min="2304" max="2304" width="17.25" style="281" bestFit="1" customWidth="1"/>
    <col min="2305" max="2306" width="20.5" style="281" bestFit="1" customWidth="1"/>
    <col min="2307" max="2307" width="0" style="281" hidden="1" customWidth="1"/>
    <col min="2308" max="2308" width="18.375" style="281" bestFit="1" customWidth="1"/>
    <col min="2309" max="2310" width="0" style="281" hidden="1" customWidth="1"/>
    <col min="2311" max="2554" width="9" style="281"/>
    <col min="2555" max="2555" width="6.625" style="281" customWidth="1"/>
    <col min="2556" max="2557" width="21.625" style="281" customWidth="1"/>
    <col min="2558" max="2558" width="16.125" style="281" bestFit="1" customWidth="1"/>
    <col min="2559" max="2559" width="13.875" style="281" bestFit="1" customWidth="1"/>
    <col min="2560" max="2560" width="17.25" style="281" bestFit="1" customWidth="1"/>
    <col min="2561" max="2562" width="20.5" style="281" bestFit="1" customWidth="1"/>
    <col min="2563" max="2563" width="0" style="281" hidden="1" customWidth="1"/>
    <col min="2564" max="2564" width="18.375" style="281" bestFit="1" customWidth="1"/>
    <col min="2565" max="2566" width="0" style="281" hidden="1" customWidth="1"/>
    <col min="2567" max="2810" width="9" style="281"/>
    <col min="2811" max="2811" width="6.625" style="281" customWidth="1"/>
    <col min="2812" max="2813" width="21.625" style="281" customWidth="1"/>
    <col min="2814" max="2814" width="16.125" style="281" bestFit="1" customWidth="1"/>
    <col min="2815" max="2815" width="13.875" style="281" bestFit="1" customWidth="1"/>
    <col min="2816" max="2816" width="17.25" style="281" bestFit="1" customWidth="1"/>
    <col min="2817" max="2818" width="20.5" style="281" bestFit="1" customWidth="1"/>
    <col min="2819" max="2819" width="0" style="281" hidden="1" customWidth="1"/>
    <col min="2820" max="2820" width="18.375" style="281" bestFit="1" customWidth="1"/>
    <col min="2821" max="2822" width="0" style="281" hidden="1" customWidth="1"/>
    <col min="2823" max="3066" width="9" style="281"/>
    <col min="3067" max="3067" width="6.625" style="281" customWidth="1"/>
    <col min="3068" max="3069" width="21.625" style="281" customWidth="1"/>
    <col min="3070" max="3070" width="16.125" style="281" bestFit="1" customWidth="1"/>
    <col min="3071" max="3071" width="13.875" style="281" bestFit="1" customWidth="1"/>
    <col min="3072" max="3072" width="17.25" style="281" bestFit="1" customWidth="1"/>
    <col min="3073" max="3074" width="20.5" style="281" bestFit="1" customWidth="1"/>
    <col min="3075" max="3075" width="0" style="281" hidden="1" customWidth="1"/>
    <col min="3076" max="3076" width="18.375" style="281" bestFit="1" customWidth="1"/>
    <col min="3077" max="3078" width="0" style="281" hidden="1" customWidth="1"/>
    <col min="3079" max="3322" width="9" style="281"/>
    <col min="3323" max="3323" width="6.625" style="281" customWidth="1"/>
    <col min="3324" max="3325" width="21.625" style="281" customWidth="1"/>
    <col min="3326" max="3326" width="16.125" style="281" bestFit="1" customWidth="1"/>
    <col min="3327" max="3327" width="13.875" style="281" bestFit="1" customWidth="1"/>
    <col min="3328" max="3328" width="17.25" style="281" bestFit="1" customWidth="1"/>
    <col min="3329" max="3330" width="20.5" style="281" bestFit="1" customWidth="1"/>
    <col min="3331" max="3331" width="0" style="281" hidden="1" customWidth="1"/>
    <col min="3332" max="3332" width="18.375" style="281" bestFit="1" customWidth="1"/>
    <col min="3333" max="3334" width="0" style="281" hidden="1" customWidth="1"/>
    <col min="3335" max="3578" width="9" style="281"/>
    <col min="3579" max="3579" width="6.625" style="281" customWidth="1"/>
    <col min="3580" max="3581" width="21.625" style="281" customWidth="1"/>
    <col min="3582" max="3582" width="16.125" style="281" bestFit="1" customWidth="1"/>
    <col min="3583" max="3583" width="13.875" style="281" bestFit="1" customWidth="1"/>
    <col min="3584" max="3584" width="17.25" style="281" bestFit="1" customWidth="1"/>
    <col min="3585" max="3586" width="20.5" style="281" bestFit="1" customWidth="1"/>
    <col min="3587" max="3587" width="0" style="281" hidden="1" customWidth="1"/>
    <col min="3588" max="3588" width="18.375" style="281" bestFit="1" customWidth="1"/>
    <col min="3589" max="3590" width="0" style="281" hidden="1" customWidth="1"/>
    <col min="3591" max="3834" width="9" style="281"/>
    <col min="3835" max="3835" width="6.625" style="281" customWidth="1"/>
    <col min="3836" max="3837" width="21.625" style="281" customWidth="1"/>
    <col min="3838" max="3838" width="16.125" style="281" bestFit="1" customWidth="1"/>
    <col min="3839" max="3839" width="13.875" style="281" bestFit="1" customWidth="1"/>
    <col min="3840" max="3840" width="17.25" style="281" bestFit="1" customWidth="1"/>
    <col min="3841" max="3842" width="20.5" style="281" bestFit="1" customWidth="1"/>
    <col min="3843" max="3843" width="0" style="281" hidden="1" customWidth="1"/>
    <col min="3844" max="3844" width="18.375" style="281" bestFit="1" customWidth="1"/>
    <col min="3845" max="3846" width="0" style="281" hidden="1" customWidth="1"/>
    <col min="3847" max="4090" width="9" style="281"/>
    <col min="4091" max="4091" width="6.625" style="281" customWidth="1"/>
    <col min="4092" max="4093" width="21.625" style="281" customWidth="1"/>
    <col min="4094" max="4094" width="16.125" style="281" bestFit="1" customWidth="1"/>
    <col min="4095" max="4095" width="13.875" style="281" bestFit="1" customWidth="1"/>
    <col min="4096" max="4096" width="17.25" style="281" bestFit="1" customWidth="1"/>
    <col min="4097" max="4098" width="20.5" style="281" bestFit="1" customWidth="1"/>
    <col min="4099" max="4099" width="0" style="281" hidden="1" customWidth="1"/>
    <col min="4100" max="4100" width="18.375" style="281" bestFit="1" customWidth="1"/>
    <col min="4101" max="4102" width="0" style="281" hidden="1" customWidth="1"/>
    <col min="4103" max="4346" width="9" style="281"/>
    <col min="4347" max="4347" width="6.625" style="281" customWidth="1"/>
    <col min="4348" max="4349" width="21.625" style="281" customWidth="1"/>
    <col min="4350" max="4350" width="16.125" style="281" bestFit="1" customWidth="1"/>
    <col min="4351" max="4351" width="13.875" style="281" bestFit="1" customWidth="1"/>
    <col min="4352" max="4352" width="17.25" style="281" bestFit="1" customWidth="1"/>
    <col min="4353" max="4354" width="20.5" style="281" bestFit="1" customWidth="1"/>
    <col min="4355" max="4355" width="0" style="281" hidden="1" customWidth="1"/>
    <col min="4356" max="4356" width="18.375" style="281" bestFit="1" customWidth="1"/>
    <col min="4357" max="4358" width="0" style="281" hidden="1" customWidth="1"/>
    <col min="4359" max="4602" width="9" style="281"/>
    <col min="4603" max="4603" width="6.625" style="281" customWidth="1"/>
    <col min="4604" max="4605" width="21.625" style="281" customWidth="1"/>
    <col min="4606" max="4606" width="16.125" style="281" bestFit="1" customWidth="1"/>
    <col min="4607" max="4607" width="13.875" style="281" bestFit="1" customWidth="1"/>
    <col min="4608" max="4608" width="17.25" style="281" bestFit="1" customWidth="1"/>
    <col min="4609" max="4610" width="20.5" style="281" bestFit="1" customWidth="1"/>
    <col min="4611" max="4611" width="0" style="281" hidden="1" customWidth="1"/>
    <col min="4612" max="4612" width="18.375" style="281" bestFit="1" customWidth="1"/>
    <col min="4613" max="4614" width="0" style="281" hidden="1" customWidth="1"/>
    <col min="4615" max="4858" width="9" style="281"/>
    <col min="4859" max="4859" width="6.625" style="281" customWidth="1"/>
    <col min="4860" max="4861" width="21.625" style="281" customWidth="1"/>
    <col min="4862" max="4862" width="16.125" style="281" bestFit="1" customWidth="1"/>
    <col min="4863" max="4863" width="13.875" style="281" bestFit="1" customWidth="1"/>
    <col min="4864" max="4864" width="17.25" style="281" bestFit="1" customWidth="1"/>
    <col min="4865" max="4866" width="20.5" style="281" bestFit="1" customWidth="1"/>
    <col min="4867" max="4867" width="0" style="281" hidden="1" customWidth="1"/>
    <col min="4868" max="4868" width="18.375" style="281" bestFit="1" customWidth="1"/>
    <col min="4869" max="4870" width="0" style="281" hidden="1" customWidth="1"/>
    <col min="4871" max="5114" width="9" style="281"/>
    <col min="5115" max="5115" width="6.625" style="281" customWidth="1"/>
    <col min="5116" max="5117" width="21.625" style="281" customWidth="1"/>
    <col min="5118" max="5118" width="16.125" style="281" bestFit="1" customWidth="1"/>
    <col min="5119" max="5119" width="13.875" style="281" bestFit="1" customWidth="1"/>
    <col min="5120" max="5120" width="17.25" style="281" bestFit="1" customWidth="1"/>
    <col min="5121" max="5122" width="20.5" style="281" bestFit="1" customWidth="1"/>
    <col min="5123" max="5123" width="0" style="281" hidden="1" customWidth="1"/>
    <col min="5124" max="5124" width="18.375" style="281" bestFit="1" customWidth="1"/>
    <col min="5125" max="5126" width="0" style="281" hidden="1" customWidth="1"/>
    <col min="5127" max="5370" width="9" style="281"/>
    <col min="5371" max="5371" width="6.625" style="281" customWidth="1"/>
    <col min="5372" max="5373" width="21.625" style="281" customWidth="1"/>
    <col min="5374" max="5374" width="16.125" style="281" bestFit="1" customWidth="1"/>
    <col min="5375" max="5375" width="13.875" style="281" bestFit="1" customWidth="1"/>
    <col min="5376" max="5376" width="17.25" style="281" bestFit="1" customWidth="1"/>
    <col min="5377" max="5378" width="20.5" style="281" bestFit="1" customWidth="1"/>
    <col min="5379" max="5379" width="0" style="281" hidden="1" customWidth="1"/>
    <col min="5380" max="5380" width="18.375" style="281" bestFit="1" customWidth="1"/>
    <col min="5381" max="5382" width="0" style="281" hidden="1" customWidth="1"/>
    <col min="5383" max="5626" width="9" style="281"/>
    <col min="5627" max="5627" width="6.625" style="281" customWidth="1"/>
    <col min="5628" max="5629" width="21.625" style="281" customWidth="1"/>
    <col min="5630" max="5630" width="16.125" style="281" bestFit="1" customWidth="1"/>
    <col min="5631" max="5631" width="13.875" style="281" bestFit="1" customWidth="1"/>
    <col min="5632" max="5632" width="17.25" style="281" bestFit="1" customWidth="1"/>
    <col min="5633" max="5634" width="20.5" style="281" bestFit="1" customWidth="1"/>
    <col min="5635" max="5635" width="0" style="281" hidden="1" customWidth="1"/>
    <col min="5636" max="5636" width="18.375" style="281" bestFit="1" customWidth="1"/>
    <col min="5637" max="5638" width="0" style="281" hidden="1" customWidth="1"/>
    <col min="5639" max="5882" width="9" style="281"/>
    <col min="5883" max="5883" width="6.625" style="281" customWidth="1"/>
    <col min="5884" max="5885" width="21.625" style="281" customWidth="1"/>
    <col min="5886" max="5886" width="16.125" style="281" bestFit="1" customWidth="1"/>
    <col min="5887" max="5887" width="13.875" style="281" bestFit="1" customWidth="1"/>
    <col min="5888" max="5888" width="17.25" style="281" bestFit="1" customWidth="1"/>
    <col min="5889" max="5890" width="20.5" style="281" bestFit="1" customWidth="1"/>
    <col min="5891" max="5891" width="0" style="281" hidden="1" customWidth="1"/>
    <col min="5892" max="5892" width="18.375" style="281" bestFit="1" customWidth="1"/>
    <col min="5893" max="5894" width="0" style="281" hidden="1" customWidth="1"/>
    <col min="5895" max="6138" width="9" style="281"/>
    <col min="6139" max="6139" width="6.625" style="281" customWidth="1"/>
    <col min="6140" max="6141" width="21.625" style="281" customWidth="1"/>
    <col min="6142" max="6142" width="16.125" style="281" bestFit="1" customWidth="1"/>
    <col min="6143" max="6143" width="13.875" style="281" bestFit="1" customWidth="1"/>
    <col min="6144" max="6144" width="17.25" style="281" bestFit="1" customWidth="1"/>
    <col min="6145" max="6146" width="20.5" style="281" bestFit="1" customWidth="1"/>
    <col min="6147" max="6147" width="0" style="281" hidden="1" customWidth="1"/>
    <col min="6148" max="6148" width="18.375" style="281" bestFit="1" customWidth="1"/>
    <col min="6149" max="6150" width="0" style="281" hidden="1" customWidth="1"/>
    <col min="6151" max="6394" width="9" style="281"/>
    <col min="6395" max="6395" width="6.625" style="281" customWidth="1"/>
    <col min="6396" max="6397" width="21.625" style="281" customWidth="1"/>
    <col min="6398" max="6398" width="16.125" style="281" bestFit="1" customWidth="1"/>
    <col min="6399" max="6399" width="13.875" style="281" bestFit="1" customWidth="1"/>
    <col min="6400" max="6400" width="17.25" style="281" bestFit="1" customWidth="1"/>
    <col min="6401" max="6402" width="20.5" style="281" bestFit="1" customWidth="1"/>
    <col min="6403" max="6403" width="0" style="281" hidden="1" customWidth="1"/>
    <col min="6404" max="6404" width="18.375" style="281" bestFit="1" customWidth="1"/>
    <col min="6405" max="6406" width="0" style="281" hidden="1" customWidth="1"/>
    <col min="6407" max="6650" width="9" style="281"/>
    <col min="6651" max="6651" width="6.625" style="281" customWidth="1"/>
    <col min="6652" max="6653" width="21.625" style="281" customWidth="1"/>
    <col min="6654" max="6654" width="16.125" style="281" bestFit="1" customWidth="1"/>
    <col min="6655" max="6655" width="13.875" style="281" bestFit="1" customWidth="1"/>
    <col min="6656" max="6656" width="17.25" style="281" bestFit="1" customWidth="1"/>
    <col min="6657" max="6658" width="20.5" style="281" bestFit="1" customWidth="1"/>
    <col min="6659" max="6659" width="0" style="281" hidden="1" customWidth="1"/>
    <col min="6660" max="6660" width="18.375" style="281" bestFit="1" customWidth="1"/>
    <col min="6661" max="6662" width="0" style="281" hidden="1" customWidth="1"/>
    <col min="6663" max="6906" width="9" style="281"/>
    <col min="6907" max="6907" width="6.625" style="281" customWidth="1"/>
    <col min="6908" max="6909" width="21.625" style="281" customWidth="1"/>
    <col min="6910" max="6910" width="16.125" style="281" bestFit="1" customWidth="1"/>
    <col min="6911" max="6911" width="13.875" style="281" bestFit="1" customWidth="1"/>
    <col min="6912" max="6912" width="17.25" style="281" bestFit="1" customWidth="1"/>
    <col min="6913" max="6914" width="20.5" style="281" bestFit="1" customWidth="1"/>
    <col min="6915" max="6915" width="0" style="281" hidden="1" customWidth="1"/>
    <col min="6916" max="6916" width="18.375" style="281" bestFit="1" customWidth="1"/>
    <col min="6917" max="6918" width="0" style="281" hidden="1" customWidth="1"/>
    <col min="6919" max="7162" width="9" style="281"/>
    <col min="7163" max="7163" width="6.625" style="281" customWidth="1"/>
    <col min="7164" max="7165" width="21.625" style="281" customWidth="1"/>
    <col min="7166" max="7166" width="16.125" style="281" bestFit="1" customWidth="1"/>
    <col min="7167" max="7167" width="13.875" style="281" bestFit="1" customWidth="1"/>
    <col min="7168" max="7168" width="17.25" style="281" bestFit="1" customWidth="1"/>
    <col min="7169" max="7170" width="20.5" style="281" bestFit="1" customWidth="1"/>
    <col min="7171" max="7171" width="0" style="281" hidden="1" customWidth="1"/>
    <col min="7172" max="7172" width="18.375" style="281" bestFit="1" customWidth="1"/>
    <col min="7173" max="7174" width="0" style="281" hidden="1" customWidth="1"/>
    <col min="7175" max="7418" width="9" style="281"/>
    <col min="7419" max="7419" width="6.625" style="281" customWidth="1"/>
    <col min="7420" max="7421" width="21.625" style="281" customWidth="1"/>
    <col min="7422" max="7422" width="16.125" style="281" bestFit="1" customWidth="1"/>
    <col min="7423" max="7423" width="13.875" style="281" bestFit="1" customWidth="1"/>
    <col min="7424" max="7424" width="17.25" style="281" bestFit="1" customWidth="1"/>
    <col min="7425" max="7426" width="20.5" style="281" bestFit="1" customWidth="1"/>
    <col min="7427" max="7427" width="0" style="281" hidden="1" customWidth="1"/>
    <col min="7428" max="7428" width="18.375" style="281" bestFit="1" customWidth="1"/>
    <col min="7429" max="7430" width="0" style="281" hidden="1" customWidth="1"/>
    <col min="7431" max="7674" width="9" style="281"/>
    <col min="7675" max="7675" width="6.625" style="281" customWidth="1"/>
    <col min="7676" max="7677" width="21.625" style="281" customWidth="1"/>
    <col min="7678" max="7678" width="16.125" style="281" bestFit="1" customWidth="1"/>
    <col min="7679" max="7679" width="13.875" style="281" bestFit="1" customWidth="1"/>
    <col min="7680" max="7680" width="17.25" style="281" bestFit="1" customWidth="1"/>
    <col min="7681" max="7682" width="20.5" style="281" bestFit="1" customWidth="1"/>
    <col min="7683" max="7683" width="0" style="281" hidden="1" customWidth="1"/>
    <col min="7684" max="7684" width="18.375" style="281" bestFit="1" customWidth="1"/>
    <col min="7685" max="7686" width="0" style="281" hidden="1" customWidth="1"/>
    <col min="7687" max="7930" width="9" style="281"/>
    <col min="7931" max="7931" width="6.625" style="281" customWidth="1"/>
    <col min="7932" max="7933" width="21.625" style="281" customWidth="1"/>
    <col min="7934" max="7934" width="16.125" style="281" bestFit="1" customWidth="1"/>
    <col min="7935" max="7935" width="13.875" style="281" bestFit="1" customWidth="1"/>
    <col min="7936" max="7936" width="17.25" style="281" bestFit="1" customWidth="1"/>
    <col min="7937" max="7938" width="20.5" style="281" bestFit="1" customWidth="1"/>
    <col min="7939" max="7939" width="0" style="281" hidden="1" customWidth="1"/>
    <col min="7940" max="7940" width="18.375" style="281" bestFit="1" customWidth="1"/>
    <col min="7941" max="7942" width="0" style="281" hidden="1" customWidth="1"/>
    <col min="7943" max="8186" width="9" style="281"/>
    <col min="8187" max="8187" width="6.625" style="281" customWidth="1"/>
    <col min="8188" max="8189" width="21.625" style="281" customWidth="1"/>
    <col min="8190" max="8190" width="16.125" style="281" bestFit="1" customWidth="1"/>
    <col min="8191" max="8191" width="13.875" style="281" bestFit="1" customWidth="1"/>
    <col min="8192" max="8192" width="17.25" style="281" bestFit="1" customWidth="1"/>
    <col min="8193" max="8194" width="20.5" style="281" bestFit="1" customWidth="1"/>
    <col min="8195" max="8195" width="0" style="281" hidden="1" customWidth="1"/>
    <col min="8196" max="8196" width="18.375" style="281" bestFit="1" customWidth="1"/>
    <col min="8197" max="8198" width="0" style="281" hidden="1" customWidth="1"/>
    <col min="8199" max="8442" width="9" style="281"/>
    <col min="8443" max="8443" width="6.625" style="281" customWidth="1"/>
    <col min="8444" max="8445" width="21.625" style="281" customWidth="1"/>
    <col min="8446" max="8446" width="16.125" style="281" bestFit="1" customWidth="1"/>
    <col min="8447" max="8447" width="13.875" style="281" bestFit="1" customWidth="1"/>
    <col min="8448" max="8448" width="17.25" style="281" bestFit="1" customWidth="1"/>
    <col min="8449" max="8450" width="20.5" style="281" bestFit="1" customWidth="1"/>
    <col min="8451" max="8451" width="0" style="281" hidden="1" customWidth="1"/>
    <col min="8452" max="8452" width="18.375" style="281" bestFit="1" customWidth="1"/>
    <col min="8453" max="8454" width="0" style="281" hidden="1" customWidth="1"/>
    <col min="8455" max="8698" width="9" style="281"/>
    <col min="8699" max="8699" width="6.625" style="281" customWidth="1"/>
    <col min="8700" max="8701" width="21.625" style="281" customWidth="1"/>
    <col min="8702" max="8702" width="16.125" style="281" bestFit="1" customWidth="1"/>
    <col min="8703" max="8703" width="13.875" style="281" bestFit="1" customWidth="1"/>
    <col min="8704" max="8704" width="17.25" style="281" bestFit="1" customWidth="1"/>
    <col min="8705" max="8706" width="20.5" style="281" bestFit="1" customWidth="1"/>
    <col min="8707" max="8707" width="0" style="281" hidden="1" customWidth="1"/>
    <col min="8708" max="8708" width="18.375" style="281" bestFit="1" customWidth="1"/>
    <col min="8709" max="8710" width="0" style="281" hidden="1" customWidth="1"/>
    <col min="8711" max="8954" width="9" style="281"/>
    <col min="8955" max="8955" width="6.625" style="281" customWidth="1"/>
    <col min="8956" max="8957" width="21.625" style="281" customWidth="1"/>
    <col min="8958" max="8958" width="16.125" style="281" bestFit="1" customWidth="1"/>
    <col min="8959" max="8959" width="13.875" style="281" bestFit="1" customWidth="1"/>
    <col min="8960" max="8960" width="17.25" style="281" bestFit="1" customWidth="1"/>
    <col min="8961" max="8962" width="20.5" style="281" bestFit="1" customWidth="1"/>
    <col min="8963" max="8963" width="0" style="281" hidden="1" customWidth="1"/>
    <col min="8964" max="8964" width="18.375" style="281" bestFit="1" customWidth="1"/>
    <col min="8965" max="8966" width="0" style="281" hidden="1" customWidth="1"/>
    <col min="8967" max="9210" width="9" style="281"/>
    <col min="9211" max="9211" width="6.625" style="281" customWidth="1"/>
    <col min="9212" max="9213" width="21.625" style="281" customWidth="1"/>
    <col min="9214" max="9214" width="16.125" style="281" bestFit="1" customWidth="1"/>
    <col min="9215" max="9215" width="13.875" style="281" bestFit="1" customWidth="1"/>
    <col min="9216" max="9216" width="17.25" style="281" bestFit="1" customWidth="1"/>
    <col min="9217" max="9218" width="20.5" style="281" bestFit="1" customWidth="1"/>
    <col min="9219" max="9219" width="0" style="281" hidden="1" customWidth="1"/>
    <col min="9220" max="9220" width="18.375" style="281" bestFit="1" customWidth="1"/>
    <col min="9221" max="9222" width="0" style="281" hidden="1" customWidth="1"/>
    <col min="9223" max="9466" width="9" style="281"/>
    <col min="9467" max="9467" width="6.625" style="281" customWidth="1"/>
    <col min="9468" max="9469" width="21.625" style="281" customWidth="1"/>
    <col min="9470" max="9470" width="16.125" style="281" bestFit="1" customWidth="1"/>
    <col min="9471" max="9471" width="13.875" style="281" bestFit="1" customWidth="1"/>
    <col min="9472" max="9472" width="17.25" style="281" bestFit="1" customWidth="1"/>
    <col min="9473" max="9474" width="20.5" style="281" bestFit="1" customWidth="1"/>
    <col min="9475" max="9475" width="0" style="281" hidden="1" customWidth="1"/>
    <col min="9476" max="9476" width="18.375" style="281" bestFit="1" customWidth="1"/>
    <col min="9477" max="9478" width="0" style="281" hidden="1" customWidth="1"/>
    <col min="9479" max="9722" width="9" style="281"/>
    <col min="9723" max="9723" width="6.625" style="281" customWidth="1"/>
    <col min="9724" max="9725" width="21.625" style="281" customWidth="1"/>
    <col min="9726" max="9726" width="16.125" style="281" bestFit="1" customWidth="1"/>
    <col min="9727" max="9727" width="13.875" style="281" bestFit="1" customWidth="1"/>
    <col min="9728" max="9728" width="17.25" style="281" bestFit="1" customWidth="1"/>
    <col min="9729" max="9730" width="20.5" style="281" bestFit="1" customWidth="1"/>
    <col min="9731" max="9731" width="0" style="281" hidden="1" customWidth="1"/>
    <col min="9732" max="9732" width="18.375" style="281" bestFit="1" customWidth="1"/>
    <col min="9733" max="9734" width="0" style="281" hidden="1" customWidth="1"/>
    <col min="9735" max="9978" width="9" style="281"/>
    <col min="9979" max="9979" width="6.625" style="281" customWidth="1"/>
    <col min="9980" max="9981" width="21.625" style="281" customWidth="1"/>
    <col min="9982" max="9982" width="16.125" style="281" bestFit="1" customWidth="1"/>
    <col min="9983" max="9983" width="13.875" style="281" bestFit="1" customWidth="1"/>
    <col min="9984" max="9984" width="17.25" style="281" bestFit="1" customWidth="1"/>
    <col min="9985" max="9986" width="20.5" style="281" bestFit="1" customWidth="1"/>
    <col min="9987" max="9987" width="0" style="281" hidden="1" customWidth="1"/>
    <col min="9988" max="9988" width="18.375" style="281" bestFit="1" customWidth="1"/>
    <col min="9989" max="9990" width="0" style="281" hidden="1" customWidth="1"/>
    <col min="9991" max="10234" width="9" style="281"/>
    <col min="10235" max="10235" width="6.625" style="281" customWidth="1"/>
    <col min="10236" max="10237" width="21.625" style="281" customWidth="1"/>
    <col min="10238" max="10238" width="16.125" style="281" bestFit="1" customWidth="1"/>
    <col min="10239" max="10239" width="13.875" style="281" bestFit="1" customWidth="1"/>
    <col min="10240" max="10240" width="17.25" style="281" bestFit="1" customWidth="1"/>
    <col min="10241" max="10242" width="20.5" style="281" bestFit="1" customWidth="1"/>
    <col min="10243" max="10243" width="0" style="281" hidden="1" customWidth="1"/>
    <col min="10244" max="10244" width="18.375" style="281" bestFit="1" customWidth="1"/>
    <col min="10245" max="10246" width="0" style="281" hidden="1" customWidth="1"/>
    <col min="10247" max="10490" width="9" style="281"/>
    <col min="10491" max="10491" width="6.625" style="281" customWidth="1"/>
    <col min="10492" max="10493" width="21.625" style="281" customWidth="1"/>
    <col min="10494" max="10494" width="16.125" style="281" bestFit="1" customWidth="1"/>
    <col min="10495" max="10495" width="13.875" style="281" bestFit="1" customWidth="1"/>
    <col min="10496" max="10496" width="17.25" style="281" bestFit="1" customWidth="1"/>
    <col min="10497" max="10498" width="20.5" style="281" bestFit="1" customWidth="1"/>
    <col min="10499" max="10499" width="0" style="281" hidden="1" customWidth="1"/>
    <col min="10500" max="10500" width="18.375" style="281" bestFit="1" customWidth="1"/>
    <col min="10501" max="10502" width="0" style="281" hidden="1" customWidth="1"/>
    <col min="10503" max="10746" width="9" style="281"/>
    <col min="10747" max="10747" width="6.625" style="281" customWidth="1"/>
    <col min="10748" max="10749" width="21.625" style="281" customWidth="1"/>
    <col min="10750" max="10750" width="16.125" style="281" bestFit="1" customWidth="1"/>
    <col min="10751" max="10751" width="13.875" style="281" bestFit="1" customWidth="1"/>
    <col min="10752" max="10752" width="17.25" style="281" bestFit="1" customWidth="1"/>
    <col min="10753" max="10754" width="20.5" style="281" bestFit="1" customWidth="1"/>
    <col min="10755" max="10755" width="0" style="281" hidden="1" customWidth="1"/>
    <col min="10756" max="10756" width="18.375" style="281" bestFit="1" customWidth="1"/>
    <col min="10757" max="10758" width="0" style="281" hidden="1" customWidth="1"/>
    <col min="10759" max="11002" width="9" style="281"/>
    <col min="11003" max="11003" width="6.625" style="281" customWidth="1"/>
    <col min="11004" max="11005" width="21.625" style="281" customWidth="1"/>
    <col min="11006" max="11006" width="16.125" style="281" bestFit="1" customWidth="1"/>
    <col min="11007" max="11007" width="13.875" style="281" bestFit="1" customWidth="1"/>
    <col min="11008" max="11008" width="17.25" style="281" bestFit="1" customWidth="1"/>
    <col min="11009" max="11010" width="20.5" style="281" bestFit="1" customWidth="1"/>
    <col min="11011" max="11011" width="0" style="281" hidden="1" customWidth="1"/>
    <col min="11012" max="11012" width="18.375" style="281" bestFit="1" customWidth="1"/>
    <col min="11013" max="11014" width="0" style="281" hidden="1" customWidth="1"/>
    <col min="11015" max="11258" width="9" style="281"/>
    <col min="11259" max="11259" width="6.625" style="281" customWidth="1"/>
    <col min="11260" max="11261" width="21.625" style="281" customWidth="1"/>
    <col min="11262" max="11262" width="16.125" style="281" bestFit="1" customWidth="1"/>
    <col min="11263" max="11263" width="13.875" style="281" bestFit="1" customWidth="1"/>
    <col min="11264" max="11264" width="17.25" style="281" bestFit="1" customWidth="1"/>
    <col min="11265" max="11266" width="20.5" style="281" bestFit="1" customWidth="1"/>
    <col min="11267" max="11267" width="0" style="281" hidden="1" customWidth="1"/>
    <col min="11268" max="11268" width="18.375" style="281" bestFit="1" customWidth="1"/>
    <col min="11269" max="11270" width="0" style="281" hidden="1" customWidth="1"/>
    <col min="11271" max="11514" width="9" style="281"/>
    <col min="11515" max="11515" width="6.625" style="281" customWidth="1"/>
    <col min="11516" max="11517" width="21.625" style="281" customWidth="1"/>
    <col min="11518" max="11518" width="16.125" style="281" bestFit="1" customWidth="1"/>
    <col min="11519" max="11519" width="13.875" style="281" bestFit="1" customWidth="1"/>
    <col min="11520" max="11520" width="17.25" style="281" bestFit="1" customWidth="1"/>
    <col min="11521" max="11522" width="20.5" style="281" bestFit="1" customWidth="1"/>
    <col min="11523" max="11523" width="0" style="281" hidden="1" customWidth="1"/>
    <col min="11524" max="11524" width="18.375" style="281" bestFit="1" customWidth="1"/>
    <col min="11525" max="11526" width="0" style="281" hidden="1" customWidth="1"/>
    <col min="11527" max="11770" width="9" style="281"/>
    <col min="11771" max="11771" width="6.625" style="281" customWidth="1"/>
    <col min="11772" max="11773" width="21.625" style="281" customWidth="1"/>
    <col min="11774" max="11774" width="16.125" style="281" bestFit="1" customWidth="1"/>
    <col min="11775" max="11775" width="13.875" style="281" bestFit="1" customWidth="1"/>
    <col min="11776" max="11776" width="17.25" style="281" bestFit="1" customWidth="1"/>
    <col min="11777" max="11778" width="20.5" style="281" bestFit="1" customWidth="1"/>
    <col min="11779" max="11779" width="0" style="281" hidden="1" customWidth="1"/>
    <col min="11780" max="11780" width="18.375" style="281" bestFit="1" customWidth="1"/>
    <col min="11781" max="11782" width="0" style="281" hidden="1" customWidth="1"/>
    <col min="11783" max="12026" width="9" style="281"/>
    <col min="12027" max="12027" width="6.625" style="281" customWidth="1"/>
    <col min="12028" max="12029" width="21.625" style="281" customWidth="1"/>
    <col min="12030" max="12030" width="16.125" style="281" bestFit="1" customWidth="1"/>
    <col min="12031" max="12031" width="13.875" style="281" bestFit="1" customWidth="1"/>
    <col min="12032" max="12032" width="17.25" style="281" bestFit="1" customWidth="1"/>
    <col min="12033" max="12034" width="20.5" style="281" bestFit="1" customWidth="1"/>
    <col min="12035" max="12035" width="0" style="281" hidden="1" customWidth="1"/>
    <col min="12036" max="12036" width="18.375" style="281" bestFit="1" customWidth="1"/>
    <col min="12037" max="12038" width="0" style="281" hidden="1" customWidth="1"/>
    <col min="12039" max="12282" width="9" style="281"/>
    <col min="12283" max="12283" width="6.625" style="281" customWidth="1"/>
    <col min="12284" max="12285" width="21.625" style="281" customWidth="1"/>
    <col min="12286" max="12286" width="16.125" style="281" bestFit="1" customWidth="1"/>
    <col min="12287" max="12287" width="13.875" style="281" bestFit="1" customWidth="1"/>
    <col min="12288" max="12288" width="17.25" style="281" bestFit="1" customWidth="1"/>
    <col min="12289" max="12290" width="20.5" style="281" bestFit="1" customWidth="1"/>
    <col min="12291" max="12291" width="0" style="281" hidden="1" customWidth="1"/>
    <col min="12292" max="12292" width="18.375" style="281" bestFit="1" customWidth="1"/>
    <col min="12293" max="12294" width="0" style="281" hidden="1" customWidth="1"/>
    <col min="12295" max="12538" width="9" style="281"/>
    <col min="12539" max="12539" width="6.625" style="281" customWidth="1"/>
    <col min="12540" max="12541" width="21.625" style="281" customWidth="1"/>
    <col min="12542" max="12542" width="16.125" style="281" bestFit="1" customWidth="1"/>
    <col min="12543" max="12543" width="13.875" style="281" bestFit="1" customWidth="1"/>
    <col min="12544" max="12544" width="17.25" style="281" bestFit="1" customWidth="1"/>
    <col min="12545" max="12546" width="20.5" style="281" bestFit="1" customWidth="1"/>
    <col min="12547" max="12547" width="0" style="281" hidden="1" customWidth="1"/>
    <col min="12548" max="12548" width="18.375" style="281" bestFit="1" customWidth="1"/>
    <col min="12549" max="12550" width="0" style="281" hidden="1" customWidth="1"/>
    <col min="12551" max="12794" width="9" style="281"/>
    <col min="12795" max="12795" width="6.625" style="281" customWidth="1"/>
    <col min="12796" max="12797" width="21.625" style="281" customWidth="1"/>
    <col min="12798" max="12798" width="16.125" style="281" bestFit="1" customWidth="1"/>
    <col min="12799" max="12799" width="13.875" style="281" bestFit="1" customWidth="1"/>
    <col min="12800" max="12800" width="17.25" style="281" bestFit="1" customWidth="1"/>
    <col min="12801" max="12802" width="20.5" style="281" bestFit="1" customWidth="1"/>
    <col min="12803" max="12803" width="0" style="281" hidden="1" customWidth="1"/>
    <col min="12804" max="12804" width="18.375" style="281" bestFit="1" customWidth="1"/>
    <col min="12805" max="12806" width="0" style="281" hidden="1" customWidth="1"/>
    <col min="12807" max="13050" width="9" style="281"/>
    <col min="13051" max="13051" width="6.625" style="281" customWidth="1"/>
    <col min="13052" max="13053" width="21.625" style="281" customWidth="1"/>
    <col min="13054" max="13054" width="16.125" style="281" bestFit="1" customWidth="1"/>
    <col min="13055" max="13055" width="13.875" style="281" bestFit="1" customWidth="1"/>
    <col min="13056" max="13056" width="17.25" style="281" bestFit="1" customWidth="1"/>
    <col min="13057" max="13058" width="20.5" style="281" bestFit="1" customWidth="1"/>
    <col min="13059" max="13059" width="0" style="281" hidden="1" customWidth="1"/>
    <col min="13060" max="13060" width="18.375" style="281" bestFit="1" customWidth="1"/>
    <col min="13061" max="13062" width="0" style="281" hidden="1" customWidth="1"/>
    <col min="13063" max="13306" width="9" style="281"/>
    <col min="13307" max="13307" width="6.625" style="281" customWidth="1"/>
    <col min="13308" max="13309" width="21.625" style="281" customWidth="1"/>
    <col min="13310" max="13310" width="16.125" style="281" bestFit="1" customWidth="1"/>
    <col min="13311" max="13311" width="13.875" style="281" bestFit="1" customWidth="1"/>
    <col min="13312" max="13312" width="17.25" style="281" bestFit="1" customWidth="1"/>
    <col min="13313" max="13314" width="20.5" style="281" bestFit="1" customWidth="1"/>
    <col min="13315" max="13315" width="0" style="281" hidden="1" customWidth="1"/>
    <col min="13316" max="13316" width="18.375" style="281" bestFit="1" customWidth="1"/>
    <col min="13317" max="13318" width="0" style="281" hidden="1" customWidth="1"/>
    <col min="13319" max="13562" width="9" style="281"/>
    <col min="13563" max="13563" width="6.625" style="281" customWidth="1"/>
    <col min="13564" max="13565" width="21.625" style="281" customWidth="1"/>
    <col min="13566" max="13566" width="16.125" style="281" bestFit="1" customWidth="1"/>
    <col min="13567" max="13567" width="13.875" style="281" bestFit="1" customWidth="1"/>
    <col min="13568" max="13568" width="17.25" style="281" bestFit="1" customWidth="1"/>
    <col min="13569" max="13570" width="20.5" style="281" bestFit="1" customWidth="1"/>
    <col min="13571" max="13571" width="0" style="281" hidden="1" customWidth="1"/>
    <col min="13572" max="13572" width="18.375" style="281" bestFit="1" customWidth="1"/>
    <col min="13573" max="13574" width="0" style="281" hidden="1" customWidth="1"/>
    <col min="13575" max="13818" width="9" style="281"/>
    <col min="13819" max="13819" width="6.625" style="281" customWidth="1"/>
    <col min="13820" max="13821" width="21.625" style="281" customWidth="1"/>
    <col min="13822" max="13822" width="16.125" style="281" bestFit="1" customWidth="1"/>
    <col min="13823" max="13823" width="13.875" style="281" bestFit="1" customWidth="1"/>
    <col min="13824" max="13824" width="17.25" style="281" bestFit="1" customWidth="1"/>
    <col min="13825" max="13826" width="20.5" style="281" bestFit="1" customWidth="1"/>
    <col min="13827" max="13827" width="0" style="281" hidden="1" customWidth="1"/>
    <col min="13828" max="13828" width="18.375" style="281" bestFit="1" customWidth="1"/>
    <col min="13829" max="13830" width="0" style="281" hidden="1" customWidth="1"/>
    <col min="13831" max="14074" width="9" style="281"/>
    <col min="14075" max="14075" width="6.625" style="281" customWidth="1"/>
    <col min="14076" max="14077" width="21.625" style="281" customWidth="1"/>
    <col min="14078" max="14078" width="16.125" style="281" bestFit="1" customWidth="1"/>
    <col min="14079" max="14079" width="13.875" style="281" bestFit="1" customWidth="1"/>
    <col min="14080" max="14080" width="17.25" style="281" bestFit="1" customWidth="1"/>
    <col min="14081" max="14082" width="20.5" style="281" bestFit="1" customWidth="1"/>
    <col min="14083" max="14083" width="0" style="281" hidden="1" customWidth="1"/>
    <col min="14084" max="14084" width="18.375" style="281" bestFit="1" customWidth="1"/>
    <col min="14085" max="14086" width="0" style="281" hidden="1" customWidth="1"/>
    <col min="14087" max="14330" width="9" style="281"/>
    <col min="14331" max="14331" width="6.625" style="281" customWidth="1"/>
    <col min="14332" max="14333" width="21.625" style="281" customWidth="1"/>
    <col min="14334" max="14334" width="16.125" style="281" bestFit="1" customWidth="1"/>
    <col min="14335" max="14335" width="13.875" style="281" bestFit="1" customWidth="1"/>
    <col min="14336" max="14336" width="17.25" style="281" bestFit="1" customWidth="1"/>
    <col min="14337" max="14338" width="20.5" style="281" bestFit="1" customWidth="1"/>
    <col min="14339" max="14339" width="0" style="281" hidden="1" customWidth="1"/>
    <col min="14340" max="14340" width="18.375" style="281" bestFit="1" customWidth="1"/>
    <col min="14341" max="14342" width="0" style="281" hidden="1" customWidth="1"/>
    <col min="14343" max="14586" width="9" style="281"/>
    <col min="14587" max="14587" width="6.625" style="281" customWidth="1"/>
    <col min="14588" max="14589" width="21.625" style="281" customWidth="1"/>
    <col min="14590" max="14590" width="16.125" style="281" bestFit="1" customWidth="1"/>
    <col min="14591" max="14591" width="13.875" style="281" bestFit="1" customWidth="1"/>
    <col min="14592" max="14592" width="17.25" style="281" bestFit="1" customWidth="1"/>
    <col min="14593" max="14594" width="20.5" style="281" bestFit="1" customWidth="1"/>
    <col min="14595" max="14595" width="0" style="281" hidden="1" customWidth="1"/>
    <col min="14596" max="14596" width="18.375" style="281" bestFit="1" customWidth="1"/>
    <col min="14597" max="14598" width="0" style="281" hidden="1" customWidth="1"/>
    <col min="14599" max="14842" width="9" style="281"/>
    <col min="14843" max="14843" width="6.625" style="281" customWidth="1"/>
    <col min="14844" max="14845" width="21.625" style="281" customWidth="1"/>
    <col min="14846" max="14846" width="16.125" style="281" bestFit="1" customWidth="1"/>
    <col min="14847" max="14847" width="13.875" style="281" bestFit="1" customWidth="1"/>
    <col min="14848" max="14848" width="17.25" style="281" bestFit="1" customWidth="1"/>
    <col min="14849" max="14850" width="20.5" style="281" bestFit="1" customWidth="1"/>
    <col min="14851" max="14851" width="0" style="281" hidden="1" customWidth="1"/>
    <col min="14852" max="14852" width="18.375" style="281" bestFit="1" customWidth="1"/>
    <col min="14853" max="14854" width="0" style="281" hidden="1" customWidth="1"/>
    <col min="14855" max="15098" width="9" style="281"/>
    <col min="15099" max="15099" width="6.625" style="281" customWidth="1"/>
    <col min="15100" max="15101" width="21.625" style="281" customWidth="1"/>
    <col min="15102" max="15102" width="16.125" style="281" bestFit="1" customWidth="1"/>
    <col min="15103" max="15103" width="13.875" style="281" bestFit="1" customWidth="1"/>
    <col min="15104" max="15104" width="17.25" style="281" bestFit="1" customWidth="1"/>
    <col min="15105" max="15106" width="20.5" style="281" bestFit="1" customWidth="1"/>
    <col min="15107" max="15107" width="0" style="281" hidden="1" customWidth="1"/>
    <col min="15108" max="15108" width="18.375" style="281" bestFit="1" customWidth="1"/>
    <col min="15109" max="15110" width="0" style="281" hidden="1" customWidth="1"/>
    <col min="15111" max="15354" width="9" style="281"/>
    <col min="15355" max="15355" width="6.625" style="281" customWidth="1"/>
    <col min="15356" max="15357" width="21.625" style="281" customWidth="1"/>
    <col min="15358" max="15358" width="16.125" style="281" bestFit="1" customWidth="1"/>
    <col min="15359" max="15359" width="13.875" style="281" bestFit="1" customWidth="1"/>
    <col min="15360" max="15360" width="17.25" style="281" bestFit="1" customWidth="1"/>
    <col min="15361" max="15362" width="20.5" style="281" bestFit="1" customWidth="1"/>
    <col min="15363" max="15363" width="0" style="281" hidden="1" customWidth="1"/>
    <col min="15364" max="15364" width="18.375" style="281" bestFit="1" customWidth="1"/>
    <col min="15365" max="15366" width="0" style="281" hidden="1" customWidth="1"/>
    <col min="15367" max="15610" width="9" style="281"/>
    <col min="15611" max="15611" width="6.625" style="281" customWidth="1"/>
    <col min="15612" max="15613" width="21.625" style="281" customWidth="1"/>
    <col min="15614" max="15614" width="16.125" style="281" bestFit="1" customWidth="1"/>
    <col min="15615" max="15615" width="13.875" style="281" bestFit="1" customWidth="1"/>
    <col min="15616" max="15616" width="17.25" style="281" bestFit="1" customWidth="1"/>
    <col min="15617" max="15618" width="20.5" style="281" bestFit="1" customWidth="1"/>
    <col min="15619" max="15619" width="0" style="281" hidden="1" customWidth="1"/>
    <col min="15620" max="15620" width="18.375" style="281" bestFit="1" customWidth="1"/>
    <col min="15621" max="15622" width="0" style="281" hidden="1" customWidth="1"/>
    <col min="15623" max="15866" width="9" style="281"/>
    <col min="15867" max="15867" width="6.625" style="281" customWidth="1"/>
    <col min="15868" max="15869" width="21.625" style="281" customWidth="1"/>
    <col min="15870" max="15870" width="16.125" style="281" bestFit="1" customWidth="1"/>
    <col min="15871" max="15871" width="13.875" style="281" bestFit="1" customWidth="1"/>
    <col min="15872" max="15872" width="17.25" style="281" bestFit="1" customWidth="1"/>
    <col min="15873" max="15874" width="20.5" style="281" bestFit="1" customWidth="1"/>
    <col min="15875" max="15875" width="0" style="281" hidden="1" customWidth="1"/>
    <col min="15876" max="15876" width="18.375" style="281" bestFit="1" customWidth="1"/>
    <col min="15877" max="15878" width="0" style="281" hidden="1" customWidth="1"/>
    <col min="15879" max="16122" width="9" style="281"/>
    <col min="16123" max="16123" width="6.625" style="281" customWidth="1"/>
    <col min="16124" max="16125" width="21.625" style="281" customWidth="1"/>
    <col min="16126" max="16126" width="16.125" style="281" bestFit="1" customWidth="1"/>
    <col min="16127" max="16127" width="13.875" style="281" bestFit="1" customWidth="1"/>
    <col min="16128" max="16128" width="17.25" style="281" bestFit="1" customWidth="1"/>
    <col min="16129" max="16130" width="20.5" style="281" bestFit="1" customWidth="1"/>
    <col min="16131" max="16131" width="0" style="281" hidden="1" customWidth="1"/>
    <col min="16132" max="16132" width="18.375" style="281" bestFit="1" customWidth="1"/>
    <col min="16133" max="16134" width="0" style="281" hidden="1" customWidth="1"/>
    <col min="16135" max="16384" width="9" style="281"/>
  </cols>
  <sheetData>
    <row r="1" spans="1:7" ht="20.25">
      <c r="A1" s="802" t="s">
        <v>2450</v>
      </c>
      <c r="B1" s="803"/>
      <c r="C1" s="803"/>
      <c r="D1" s="804"/>
      <c r="E1" s="804"/>
      <c r="F1" s="804"/>
      <c r="G1" s="804"/>
    </row>
    <row r="2" spans="1:7" ht="35.1" customHeight="1">
      <c r="A2" s="800" t="s">
        <v>2444</v>
      </c>
      <c r="B2" s="801"/>
      <c r="G2" s="794" t="s">
        <v>2445</v>
      </c>
    </row>
    <row r="3" spans="1:7" ht="30" customHeight="1">
      <c r="A3" s="795" t="s">
        <v>1329</v>
      </c>
      <c r="B3" s="795" t="s">
        <v>2446</v>
      </c>
      <c r="C3" s="796" t="s">
        <v>2447</v>
      </c>
      <c r="D3" s="796" t="s">
        <v>2448</v>
      </c>
      <c r="E3" s="796" t="s">
        <v>2453</v>
      </c>
      <c r="F3" s="796" t="s">
        <v>2451</v>
      </c>
      <c r="G3" s="796" t="s">
        <v>2452</v>
      </c>
    </row>
    <row r="4" spans="1:7" ht="30" customHeight="1">
      <c r="A4" s="795">
        <v>1</v>
      </c>
      <c r="B4" s="795" t="s">
        <v>2454</v>
      </c>
      <c r="C4" s="797">
        <f>华漕基本支出调整!O4</f>
        <v>7829960.969999969</v>
      </c>
      <c r="D4" s="797"/>
      <c r="E4" s="797">
        <f>C4-D4</f>
        <v>7829960.969999969</v>
      </c>
      <c r="F4" s="797"/>
      <c r="G4" s="797">
        <f>E4-F4</f>
        <v>7829960.969999969</v>
      </c>
    </row>
    <row r="5" spans="1:7" ht="30" customHeight="1">
      <c r="A5" s="795">
        <v>2</v>
      </c>
      <c r="B5" s="795" t="s">
        <v>2455</v>
      </c>
      <c r="C5" s="797">
        <f>华漕基本支出调整!O42</f>
        <v>1221890.4100000001</v>
      </c>
      <c r="D5" s="797"/>
      <c r="E5" s="797">
        <f t="shared" ref="E5:E15" si="0">C5-D5</f>
        <v>1221890.4100000001</v>
      </c>
      <c r="F5" s="797"/>
      <c r="G5" s="797">
        <f t="shared" ref="G5:G15" si="1">E5-F5</f>
        <v>1221890.4100000001</v>
      </c>
    </row>
    <row r="6" spans="1:7" ht="30" customHeight="1">
      <c r="A6" s="795">
        <v>3</v>
      </c>
      <c r="B6" s="795" t="s">
        <v>2456</v>
      </c>
      <c r="C6" s="797">
        <f>华漕基本支出调整!O31</f>
        <v>7661080</v>
      </c>
      <c r="D6" s="797"/>
      <c r="E6" s="797">
        <f t="shared" si="0"/>
        <v>7661080</v>
      </c>
      <c r="F6" s="797"/>
      <c r="G6" s="797">
        <f t="shared" si="1"/>
        <v>7661080</v>
      </c>
    </row>
    <row r="7" spans="1:7" ht="30" customHeight="1">
      <c r="A7" s="795">
        <v>4</v>
      </c>
      <c r="B7" s="795" t="s">
        <v>2462</v>
      </c>
      <c r="C7" s="797">
        <v>33</v>
      </c>
      <c r="D7" s="797"/>
      <c r="E7" s="797">
        <f t="shared" si="0"/>
        <v>33</v>
      </c>
      <c r="F7" s="797"/>
      <c r="G7" s="797">
        <f t="shared" si="1"/>
        <v>33</v>
      </c>
    </row>
    <row r="8" spans="1:7" ht="30" customHeight="1">
      <c r="A8" s="795">
        <v>5</v>
      </c>
      <c r="B8" s="795" t="s">
        <v>2457</v>
      </c>
      <c r="C8" s="797">
        <f>残疾就业保障调整!E11</f>
        <v>-924180.21000000008</v>
      </c>
      <c r="D8" s="797"/>
      <c r="E8" s="797">
        <f t="shared" si="0"/>
        <v>-924180.21000000008</v>
      </c>
      <c r="F8" s="797"/>
      <c r="G8" s="797">
        <f t="shared" si="1"/>
        <v>-924180.21000000008</v>
      </c>
    </row>
    <row r="9" spans="1:7" ht="30" customHeight="1">
      <c r="A9" s="795">
        <v>6</v>
      </c>
      <c r="B9" s="795" t="s">
        <v>2458</v>
      </c>
      <c r="C9" s="797">
        <f>补充公用经费调整!AV11</f>
        <v>4012403.2399999993</v>
      </c>
      <c r="D9" s="797"/>
      <c r="E9" s="797">
        <f t="shared" si="0"/>
        <v>4012403.2399999993</v>
      </c>
      <c r="F9" s="797"/>
      <c r="G9" s="797">
        <f t="shared" si="1"/>
        <v>4012403.2399999993</v>
      </c>
    </row>
    <row r="10" spans="1:7" ht="30" customHeight="1">
      <c r="A10" s="795">
        <v>7</v>
      </c>
      <c r="B10" s="795" t="s">
        <v>2449</v>
      </c>
      <c r="C10" s="797">
        <f>追加设备!I13</f>
        <v>2400000</v>
      </c>
      <c r="D10" s="797">
        <v>1621611</v>
      </c>
      <c r="E10" s="797">
        <f t="shared" si="0"/>
        <v>778389</v>
      </c>
      <c r="F10" s="797"/>
      <c r="G10" s="797">
        <f t="shared" si="1"/>
        <v>778389</v>
      </c>
    </row>
    <row r="11" spans="1:7" ht="30" customHeight="1">
      <c r="A11" s="795">
        <v>8</v>
      </c>
      <c r="B11" s="795" t="s">
        <v>2463</v>
      </c>
      <c r="C11" s="797">
        <f>普教二科追加!H6</f>
        <v>1500000</v>
      </c>
      <c r="D11" s="797"/>
      <c r="E11" s="797">
        <f t="shared" si="0"/>
        <v>1500000</v>
      </c>
      <c r="F11" s="797"/>
      <c r="G11" s="797">
        <f t="shared" si="1"/>
        <v>1500000</v>
      </c>
    </row>
    <row r="12" spans="1:7" ht="30" customHeight="1">
      <c r="A12" s="795">
        <v>9</v>
      </c>
      <c r="B12" s="795" t="s">
        <v>2464</v>
      </c>
      <c r="C12" s="797">
        <f>普教一科追加!H6</f>
        <v>600000</v>
      </c>
      <c r="D12" s="797"/>
      <c r="E12" s="797">
        <f t="shared" si="0"/>
        <v>600000</v>
      </c>
      <c r="F12" s="797"/>
      <c r="G12" s="797">
        <f t="shared" si="1"/>
        <v>600000</v>
      </c>
    </row>
    <row r="13" spans="1:7" ht="30" customHeight="1">
      <c r="A13" s="795">
        <v>10</v>
      </c>
      <c r="B13" s="795" t="s">
        <v>2459</v>
      </c>
      <c r="C13" s="797">
        <f>抚恤金调整!E7</f>
        <v>1004014</v>
      </c>
      <c r="D13" s="797"/>
      <c r="E13" s="797">
        <f t="shared" si="0"/>
        <v>1004014</v>
      </c>
      <c r="F13" s="797"/>
      <c r="G13" s="797">
        <f t="shared" si="1"/>
        <v>1004014</v>
      </c>
    </row>
    <row r="14" spans="1:7" ht="30" customHeight="1">
      <c r="A14" s="795">
        <v>11</v>
      </c>
      <c r="B14" s="795" t="s">
        <v>2460</v>
      </c>
      <c r="C14" s="797">
        <f>储备教师!H8</f>
        <v>488073</v>
      </c>
      <c r="D14" s="797"/>
      <c r="E14" s="797">
        <f t="shared" si="0"/>
        <v>488073</v>
      </c>
      <c r="F14" s="797">
        <f>E14</f>
        <v>488073</v>
      </c>
      <c r="G14" s="797">
        <f t="shared" si="1"/>
        <v>0</v>
      </c>
    </row>
    <row r="15" spans="1:7" ht="30" customHeight="1">
      <c r="A15" s="795">
        <v>12</v>
      </c>
      <c r="B15" s="795" t="s">
        <v>2461</v>
      </c>
      <c r="C15" s="797">
        <f>保安经费调整!N22</f>
        <v>1272888.5900000001</v>
      </c>
      <c r="D15" s="797"/>
      <c r="E15" s="797">
        <f t="shared" si="0"/>
        <v>1272888.5900000001</v>
      </c>
      <c r="F15" s="797">
        <f>E15</f>
        <v>1272888.5900000001</v>
      </c>
      <c r="G15" s="797">
        <f t="shared" si="1"/>
        <v>0</v>
      </c>
    </row>
    <row r="16" spans="1:7" ht="30" customHeight="1">
      <c r="A16" s="799"/>
      <c r="B16" s="795" t="s">
        <v>2285</v>
      </c>
      <c r="C16" s="797">
        <f>SUM(C4:C15)</f>
        <v>27066162.999999966</v>
      </c>
      <c r="D16" s="797">
        <f t="shared" ref="D16:G16" si="2">SUM(D4:D15)</f>
        <v>1621611</v>
      </c>
      <c r="E16" s="797">
        <f t="shared" si="2"/>
        <v>25444551.999999966</v>
      </c>
      <c r="F16" s="797">
        <f t="shared" si="2"/>
        <v>1760961.59</v>
      </c>
      <c r="G16" s="797">
        <f t="shared" si="2"/>
        <v>23683590.409999967</v>
      </c>
    </row>
  </sheetData>
  <mergeCells count="2">
    <mergeCell ref="A2:B2"/>
    <mergeCell ref="A1:G1"/>
  </mergeCells>
  <phoneticPr fontId="3" type="noConversion"/>
  <pageMargins left="0.7" right="0.7" top="0.75" bottom="0.75" header="0.3" footer="0.3"/>
  <pageSetup paperSize="9" scale="7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805" t="s">
        <v>532</v>
      </c>
      <c r="B1" s="806"/>
      <c r="C1" s="806"/>
      <c r="D1" s="806"/>
      <c r="E1" s="807"/>
      <c r="F1" s="807"/>
      <c r="G1" s="807"/>
      <c r="H1" s="807"/>
      <c r="I1" s="807"/>
      <c r="J1" s="807"/>
      <c r="K1" s="807"/>
      <c r="L1" s="807"/>
      <c r="M1" s="807"/>
      <c r="N1" s="807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810" t="s">
        <v>664</v>
      </c>
      <c r="B1" s="811"/>
      <c r="C1" s="811"/>
      <c r="D1" s="811"/>
      <c r="E1" s="811"/>
      <c r="F1" s="811"/>
      <c r="G1" s="811"/>
      <c r="H1" s="811"/>
      <c r="I1" s="811"/>
      <c r="J1" s="811"/>
      <c r="K1" s="811"/>
      <c r="L1" s="811"/>
      <c r="M1" s="811"/>
      <c r="N1" s="811"/>
      <c r="O1" s="811"/>
      <c r="P1" s="811"/>
      <c r="Q1" s="811"/>
    </row>
    <row r="2" spans="1:17" s="155" customFormat="1">
      <c r="A2" s="812" t="s">
        <v>594</v>
      </c>
      <c r="B2" s="814" t="s">
        <v>635</v>
      </c>
      <c r="C2" s="814" t="s">
        <v>1</v>
      </c>
      <c r="D2" s="815" t="s">
        <v>636</v>
      </c>
      <c r="E2" s="816" t="s">
        <v>637</v>
      </c>
      <c r="F2" s="808" t="s">
        <v>653</v>
      </c>
      <c r="G2" s="809"/>
      <c r="H2" s="809"/>
      <c r="I2" s="809"/>
      <c r="J2" s="808" t="s">
        <v>652</v>
      </c>
      <c r="K2" s="809"/>
      <c r="L2" s="809"/>
      <c r="M2" s="809"/>
      <c r="N2" s="808" t="s">
        <v>666</v>
      </c>
      <c r="O2" s="809"/>
      <c r="P2" s="809"/>
      <c r="Q2" s="809"/>
    </row>
    <row r="3" spans="1:17" ht="22.5">
      <c r="A3" s="813"/>
      <c r="B3" s="813"/>
      <c r="C3" s="813"/>
      <c r="D3" s="813"/>
      <c r="E3" s="813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17" t="s">
        <v>0</v>
      </c>
      <c r="B1" s="818"/>
      <c r="C1" s="818"/>
      <c r="D1" s="818"/>
      <c r="E1" s="818"/>
      <c r="F1" s="818"/>
      <c r="G1" s="818"/>
      <c r="H1" s="818"/>
      <c r="I1" s="818"/>
      <c r="J1" s="818"/>
      <c r="K1" s="818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19" t="s">
        <v>0</v>
      </c>
      <c r="B1" s="820"/>
      <c r="C1" s="820"/>
      <c r="D1" s="820"/>
      <c r="E1" s="820"/>
      <c r="F1" s="820"/>
      <c r="G1" s="820"/>
      <c r="H1" s="820"/>
      <c r="I1" s="820"/>
      <c r="J1" s="820"/>
      <c r="K1" s="820"/>
      <c r="L1" s="820"/>
      <c r="M1" s="820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17" t="s">
        <v>264</v>
      </c>
      <c r="B1" s="818"/>
      <c r="C1" s="818"/>
      <c r="D1" s="818"/>
      <c r="E1" s="818"/>
      <c r="F1" s="818"/>
      <c r="G1" s="818"/>
      <c r="H1" s="818"/>
      <c r="I1" s="818"/>
      <c r="J1" s="818"/>
      <c r="K1" s="818"/>
      <c r="L1" s="818"/>
      <c r="M1" s="818"/>
      <c r="N1" s="818"/>
      <c r="O1" s="818"/>
      <c r="P1" s="818"/>
      <c r="Q1" s="818"/>
      <c r="R1" s="818"/>
      <c r="S1" s="818"/>
      <c r="T1" s="818"/>
      <c r="U1" s="818"/>
      <c r="V1" s="818"/>
      <c r="W1" s="818"/>
      <c r="X1" s="818"/>
      <c r="Y1" s="818"/>
      <c r="Z1" s="818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21" t="s">
        <v>669</v>
      </c>
      <c r="B1" s="821"/>
      <c r="C1" s="821"/>
      <c r="D1" s="821"/>
      <c r="E1" s="821"/>
      <c r="F1" s="821"/>
      <c r="G1" s="821"/>
      <c r="H1" s="821"/>
      <c r="I1" s="821"/>
      <c r="J1" s="821"/>
      <c r="K1" s="821"/>
      <c r="L1" s="821"/>
      <c r="M1" s="821"/>
      <c r="N1" s="821"/>
      <c r="O1" s="821"/>
      <c r="P1" s="821"/>
      <c r="Q1" s="821"/>
      <c r="R1" s="821"/>
      <c r="S1" s="821"/>
      <c r="T1" s="821"/>
      <c r="U1" s="821"/>
      <c r="V1" s="821"/>
      <c r="W1" s="821"/>
      <c r="X1" s="821"/>
      <c r="Y1" s="821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17" t="s">
        <v>0</v>
      </c>
      <c r="B1" s="818"/>
      <c r="C1" s="818"/>
      <c r="D1" s="818"/>
      <c r="E1" s="818"/>
      <c r="F1" s="818"/>
      <c r="G1" s="818"/>
      <c r="H1" s="818"/>
      <c r="I1" s="818"/>
      <c r="J1" s="818"/>
      <c r="K1" s="818"/>
      <c r="L1" s="818"/>
      <c r="M1" s="818"/>
      <c r="N1" s="818"/>
      <c r="O1" s="818"/>
      <c r="P1" s="818"/>
      <c r="Q1" s="818"/>
      <c r="R1" s="818"/>
      <c r="S1" s="818"/>
      <c r="T1" s="818"/>
      <c r="U1" s="818"/>
      <c r="V1" s="818"/>
      <c r="W1" s="818"/>
      <c r="X1" s="818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17" t="s">
        <v>0</v>
      </c>
      <c r="B1" s="818"/>
      <c r="C1" s="818"/>
      <c r="D1" s="818"/>
      <c r="E1" s="818"/>
      <c r="F1" s="818"/>
      <c r="G1" s="818"/>
      <c r="H1" s="818"/>
      <c r="I1" s="818"/>
      <c r="J1" s="818"/>
      <c r="K1" s="818"/>
      <c r="L1" s="818"/>
      <c r="M1" s="818"/>
      <c r="N1" s="818"/>
      <c r="O1" s="818"/>
      <c r="P1" s="818"/>
      <c r="Q1" s="818"/>
      <c r="R1" s="818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17" t="s">
        <v>0</v>
      </c>
      <c r="B1" s="818"/>
      <c r="C1" s="818"/>
      <c r="D1" s="818"/>
      <c r="E1" s="818"/>
      <c r="F1" s="818"/>
      <c r="G1" s="818"/>
      <c r="H1" s="818"/>
      <c r="I1" s="818"/>
      <c r="J1" s="818"/>
      <c r="K1" s="818"/>
      <c r="L1" s="818"/>
      <c r="M1" s="818"/>
      <c r="N1" s="818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22" t="s">
        <v>335</v>
      </c>
      <c r="B1" s="823"/>
      <c r="C1" s="823"/>
      <c r="D1" s="823"/>
      <c r="E1" s="823"/>
      <c r="F1" s="823"/>
      <c r="G1" s="823"/>
      <c r="H1" s="823"/>
      <c r="I1" s="823"/>
      <c r="J1" s="823"/>
      <c r="K1" s="823"/>
      <c r="L1" s="823"/>
      <c r="M1" s="823"/>
      <c r="N1" s="823"/>
      <c r="O1" s="823"/>
      <c r="P1" s="823"/>
      <c r="Q1" s="823"/>
      <c r="R1" s="823"/>
      <c r="S1" s="823"/>
      <c r="T1" s="823"/>
      <c r="U1" s="823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19" t="s">
        <v>265</v>
      </c>
      <c r="B1" s="820"/>
      <c r="C1" s="820"/>
      <c r="D1" s="820"/>
      <c r="E1" s="820"/>
      <c r="F1" s="820"/>
      <c r="G1" s="820"/>
      <c r="H1" s="820"/>
      <c r="I1" s="820"/>
      <c r="J1" s="820"/>
      <c r="K1" s="820"/>
      <c r="L1" s="820"/>
      <c r="M1" s="820"/>
      <c r="N1" s="820"/>
      <c r="O1" s="820"/>
      <c r="P1" s="820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24" t="s">
        <v>488</v>
      </c>
      <c r="B1" s="824"/>
      <c r="C1" s="824"/>
      <c r="D1" s="824"/>
      <c r="E1" s="824"/>
      <c r="F1" s="824"/>
      <c r="G1" s="824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27" t="s">
        <v>544</v>
      </c>
      <c r="B1" s="828"/>
      <c r="C1" s="828"/>
      <c r="D1" s="828"/>
      <c r="E1" s="828"/>
      <c r="F1" s="828"/>
      <c r="G1" s="828"/>
      <c r="H1" s="828"/>
      <c r="I1" s="828"/>
    </row>
    <row r="2" spans="1:9" ht="22.5">
      <c r="A2" s="147" t="s">
        <v>621</v>
      </c>
      <c r="B2" s="826" t="s">
        <v>622</v>
      </c>
      <c r="C2" s="826"/>
      <c r="D2" s="826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25" t="s">
        <v>634</v>
      </c>
      <c r="C3" s="825"/>
      <c r="D3" s="825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25" t="s">
        <v>629</v>
      </c>
      <c r="C4" s="825"/>
      <c r="D4" s="825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25" t="s">
        <v>630</v>
      </c>
      <c r="C5" s="825"/>
      <c r="D5" s="825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25" t="s">
        <v>632</v>
      </c>
      <c r="C6" s="825"/>
      <c r="D6" s="825"/>
      <c r="E6" s="152"/>
      <c r="F6" s="152"/>
      <c r="G6" s="152"/>
      <c r="H6" s="154"/>
      <c r="I6" s="154">
        <f>I5</f>
        <v>476250</v>
      </c>
    </row>
    <row r="7" spans="1:9">
      <c r="A7" s="152"/>
      <c r="B7" s="825" t="s">
        <v>633</v>
      </c>
      <c r="C7" s="825"/>
      <c r="D7" s="825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29" t="s">
        <v>620</v>
      </c>
      <c r="B1" s="829"/>
      <c r="C1" s="829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31"/>
      <c r="B1" s="832"/>
      <c r="C1" s="832"/>
      <c r="D1" s="832"/>
      <c r="E1" s="832"/>
      <c r="F1" s="832"/>
      <c r="G1" s="832"/>
      <c r="H1" s="832"/>
      <c r="I1" s="832"/>
      <c r="J1" s="832"/>
      <c r="K1" s="832"/>
      <c r="L1" s="832"/>
      <c r="M1" s="832"/>
      <c r="N1" s="832"/>
      <c r="O1" s="832"/>
      <c r="P1" s="832"/>
      <c r="Q1" s="832"/>
      <c r="R1" s="832"/>
      <c r="S1" s="832"/>
      <c r="T1" s="832"/>
      <c r="U1" s="832"/>
      <c r="V1" s="832"/>
      <c r="W1" s="832"/>
      <c r="X1" s="832"/>
      <c r="Y1" s="832"/>
      <c r="Z1" s="832"/>
      <c r="AA1" s="832"/>
    </row>
    <row r="2" spans="1:28" ht="39.950000000000003" customHeight="1">
      <c r="A2" s="833" t="s">
        <v>594</v>
      </c>
      <c r="B2" s="830" t="s">
        <v>595</v>
      </c>
      <c r="C2" s="830" t="s">
        <v>596</v>
      </c>
      <c r="D2" s="830" t="s">
        <v>597</v>
      </c>
      <c r="E2" s="830"/>
      <c r="F2" s="830"/>
      <c r="G2" s="830"/>
      <c r="H2" s="830"/>
      <c r="I2" s="835" t="s">
        <v>598</v>
      </c>
      <c r="J2" s="835"/>
      <c r="K2" s="835"/>
      <c r="L2" s="835"/>
      <c r="M2" s="835"/>
      <c r="N2" s="835" t="s">
        <v>599</v>
      </c>
      <c r="O2" s="835"/>
      <c r="P2" s="835"/>
      <c r="Q2" s="835"/>
      <c r="R2" s="835"/>
      <c r="S2" s="830" t="s">
        <v>615</v>
      </c>
      <c r="T2" s="830"/>
      <c r="U2" s="830"/>
      <c r="V2" s="830"/>
      <c r="W2" s="830"/>
      <c r="X2" s="830"/>
      <c r="Y2" s="830"/>
      <c r="Z2" s="830"/>
      <c r="AA2" s="830"/>
    </row>
    <row r="3" spans="1:28" ht="39.950000000000003" customHeight="1">
      <c r="A3" s="834"/>
      <c r="B3" s="830"/>
      <c r="C3" s="830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36" t="s">
        <v>1071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  <c r="L1" s="836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37" t="s">
        <v>1209</v>
      </c>
      <c r="B1" s="837"/>
      <c r="C1" s="837"/>
      <c r="D1" s="837"/>
      <c r="E1" s="837"/>
      <c r="F1" s="837"/>
      <c r="G1" s="837"/>
      <c r="H1" s="837"/>
      <c r="I1" s="837"/>
    </row>
    <row r="2" spans="1:9" s="327" customFormat="1">
      <c r="A2" s="838" t="s">
        <v>1210</v>
      </c>
      <c r="B2" s="838" t="s">
        <v>1211</v>
      </c>
      <c r="C2" s="838" t="s">
        <v>1212</v>
      </c>
      <c r="D2" s="838" t="s">
        <v>1213</v>
      </c>
      <c r="E2" s="838" t="s">
        <v>1214</v>
      </c>
      <c r="F2" s="839" t="s">
        <v>1215</v>
      </c>
      <c r="G2" s="838" t="s">
        <v>1216</v>
      </c>
      <c r="H2" s="839" t="s">
        <v>1217</v>
      </c>
      <c r="I2" s="840" t="s">
        <v>1218</v>
      </c>
    </row>
    <row r="3" spans="1:9" s="327" customFormat="1">
      <c r="A3" s="838"/>
      <c r="B3" s="838"/>
      <c r="C3" s="838"/>
      <c r="D3" s="838"/>
      <c r="E3" s="838"/>
      <c r="F3" s="839"/>
      <c r="G3" s="838"/>
      <c r="H3" s="839"/>
      <c r="I3" s="840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57" t="s">
        <v>1361</v>
      </c>
      <c r="B1" s="857"/>
      <c r="C1" s="857"/>
      <c r="D1" s="857"/>
      <c r="E1" s="857"/>
      <c r="F1" s="857"/>
      <c r="G1" s="857"/>
      <c r="H1" s="857"/>
      <c r="I1" s="857"/>
      <c r="J1" s="858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41">
        <v>1</v>
      </c>
      <c r="B3" s="846" t="s">
        <v>1368</v>
      </c>
      <c r="C3" s="846" t="s">
        <v>1369</v>
      </c>
      <c r="D3" s="846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55">
        <f>ROUND(I50*0.8,0)</f>
        <v>1831887</v>
      </c>
    </row>
    <row r="4" spans="1:10" ht="18" customHeight="1">
      <c r="A4" s="841"/>
      <c r="B4" s="846"/>
      <c r="C4" s="846"/>
      <c r="D4" s="846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56"/>
    </row>
    <row r="5" spans="1:10" ht="18" customHeight="1">
      <c r="A5" s="841"/>
      <c r="B5" s="846"/>
      <c r="C5" s="846"/>
      <c r="D5" s="846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56"/>
    </row>
    <row r="6" spans="1:10" ht="18" customHeight="1">
      <c r="A6" s="841"/>
      <c r="B6" s="846"/>
      <c r="C6" s="846"/>
      <c r="D6" s="846"/>
      <c r="E6" s="848" t="s">
        <v>1375</v>
      </c>
      <c r="F6" s="841" t="s">
        <v>1376</v>
      </c>
      <c r="G6" s="379">
        <v>12</v>
      </c>
      <c r="H6" s="379">
        <v>280</v>
      </c>
      <c r="I6" s="842">
        <f>SUMPRODUCT(G6:G11,H6:H11)</f>
        <v>43420</v>
      </c>
      <c r="J6" s="856"/>
    </row>
    <row r="7" spans="1:10" ht="18" customHeight="1">
      <c r="A7" s="841"/>
      <c r="B7" s="846"/>
      <c r="C7" s="846"/>
      <c r="D7" s="846"/>
      <c r="E7" s="848"/>
      <c r="F7" s="841"/>
      <c r="G7" s="379">
        <v>16</v>
      </c>
      <c r="H7" s="379">
        <v>360</v>
      </c>
      <c r="I7" s="842"/>
      <c r="J7" s="856"/>
    </row>
    <row r="8" spans="1:10" ht="18" customHeight="1">
      <c r="A8" s="841"/>
      <c r="B8" s="846"/>
      <c r="C8" s="846"/>
      <c r="D8" s="846"/>
      <c r="E8" s="848"/>
      <c r="F8" s="841"/>
      <c r="G8" s="379">
        <v>26</v>
      </c>
      <c r="H8" s="379">
        <v>150</v>
      </c>
      <c r="I8" s="842"/>
      <c r="J8" s="856"/>
    </row>
    <row r="9" spans="1:10" ht="18" customHeight="1">
      <c r="A9" s="841"/>
      <c r="B9" s="846"/>
      <c r="C9" s="846"/>
      <c r="D9" s="846"/>
      <c r="E9" s="848"/>
      <c r="F9" s="841"/>
      <c r="G9" s="379">
        <v>90</v>
      </c>
      <c r="H9" s="379">
        <v>160</v>
      </c>
      <c r="I9" s="842"/>
      <c r="J9" s="856"/>
    </row>
    <row r="10" spans="1:10" ht="18" customHeight="1">
      <c r="A10" s="841"/>
      <c r="B10" s="846"/>
      <c r="C10" s="846"/>
      <c r="D10" s="846"/>
      <c r="E10" s="848"/>
      <c r="F10" s="841"/>
      <c r="G10" s="379">
        <v>90</v>
      </c>
      <c r="H10" s="379">
        <v>130</v>
      </c>
      <c r="I10" s="842"/>
      <c r="J10" s="856"/>
    </row>
    <row r="11" spans="1:10" ht="18" customHeight="1">
      <c r="A11" s="841"/>
      <c r="B11" s="846"/>
      <c r="C11" s="846"/>
      <c r="D11" s="846"/>
      <c r="E11" s="848"/>
      <c r="F11" s="841"/>
      <c r="G11" s="379">
        <v>86</v>
      </c>
      <c r="H11" s="379">
        <v>50</v>
      </c>
      <c r="I11" s="842"/>
      <c r="J11" s="856"/>
    </row>
    <row r="12" spans="1:10" ht="18" customHeight="1">
      <c r="A12" s="841"/>
      <c r="B12" s="846"/>
      <c r="C12" s="846"/>
      <c r="D12" s="846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56"/>
    </row>
    <row r="13" spans="1:10" ht="18" customHeight="1">
      <c r="A13" s="841"/>
      <c r="B13" s="846"/>
      <c r="C13" s="846"/>
      <c r="D13" s="843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56"/>
    </row>
    <row r="14" spans="1:10" ht="18" customHeight="1">
      <c r="A14" s="841"/>
      <c r="B14" s="846"/>
      <c r="C14" s="846"/>
      <c r="D14" s="843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56"/>
    </row>
    <row r="15" spans="1:10" ht="18" customHeight="1">
      <c r="A15" s="841"/>
      <c r="B15" s="846"/>
      <c r="C15" s="846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56"/>
    </row>
    <row r="16" spans="1:10" ht="18" customHeight="1">
      <c r="A16" s="841"/>
      <c r="B16" s="846"/>
      <c r="C16" s="846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56"/>
    </row>
    <row r="17" spans="1:66" ht="18" customHeight="1">
      <c r="A17" s="841"/>
      <c r="B17" s="846"/>
      <c r="C17" s="846"/>
      <c r="D17" s="844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56"/>
    </row>
    <row r="18" spans="1:66" ht="18" customHeight="1">
      <c r="A18" s="841"/>
      <c r="B18" s="846"/>
      <c r="C18" s="846"/>
      <c r="D18" s="844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56"/>
    </row>
    <row r="19" spans="1:66" ht="18" customHeight="1">
      <c r="A19" s="841"/>
      <c r="B19" s="846"/>
      <c r="C19" s="846"/>
      <c r="D19" s="844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56"/>
    </row>
    <row r="20" spans="1:66" ht="18" customHeight="1">
      <c r="A20" s="841"/>
      <c r="B20" s="846"/>
      <c r="C20" s="846"/>
      <c r="D20" s="844" t="s">
        <v>1391</v>
      </c>
      <c r="E20" s="377" t="s">
        <v>1392</v>
      </c>
      <c r="F20" s="383" t="s">
        <v>1376</v>
      </c>
      <c r="G20" s="841">
        <v>1</v>
      </c>
      <c r="H20" s="841">
        <v>10000</v>
      </c>
      <c r="I20" s="842">
        <f t="shared" ref="I20:I26" si="1">H20*G20</f>
        <v>10000</v>
      </c>
      <c r="J20" s="856"/>
    </row>
    <row r="21" spans="1:66" ht="18" customHeight="1">
      <c r="A21" s="841"/>
      <c r="B21" s="846"/>
      <c r="C21" s="846"/>
      <c r="D21" s="844"/>
      <c r="E21" s="377" t="s">
        <v>1393</v>
      </c>
      <c r="F21" s="378" t="s">
        <v>1372</v>
      </c>
      <c r="G21" s="841"/>
      <c r="H21" s="841"/>
      <c r="I21" s="842"/>
      <c r="J21" s="856"/>
    </row>
    <row r="22" spans="1:66" ht="18" customHeight="1">
      <c r="A22" s="841"/>
      <c r="B22" s="846"/>
      <c r="C22" s="846"/>
      <c r="D22" s="844" t="s">
        <v>1394</v>
      </c>
      <c r="E22" s="849" t="s">
        <v>1395</v>
      </c>
      <c r="F22" s="852" t="s">
        <v>1372</v>
      </c>
      <c r="G22" s="384">
        <v>4002.77</v>
      </c>
      <c r="H22" s="379">
        <v>60</v>
      </c>
      <c r="I22" s="561">
        <f t="shared" si="1"/>
        <v>240166.2</v>
      </c>
      <c r="J22" s="856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41"/>
      <c r="B23" s="846"/>
      <c r="C23" s="846"/>
      <c r="D23" s="844"/>
      <c r="E23" s="850"/>
      <c r="F23" s="853"/>
      <c r="G23" s="384">
        <v>2</v>
      </c>
      <c r="H23" s="379">
        <v>5000</v>
      </c>
      <c r="I23" s="561">
        <f t="shared" si="1"/>
        <v>10000</v>
      </c>
      <c r="J23" s="856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41"/>
      <c r="B24" s="846"/>
      <c r="C24" s="846"/>
      <c r="D24" s="844"/>
      <c r="E24" s="851"/>
      <c r="F24" s="854"/>
      <c r="G24" s="384">
        <v>180</v>
      </c>
      <c r="H24" s="379">
        <v>60</v>
      </c>
      <c r="I24" s="561">
        <f t="shared" si="1"/>
        <v>10800</v>
      </c>
      <c r="J24" s="856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41"/>
      <c r="B25" s="846"/>
      <c r="C25" s="846"/>
      <c r="D25" s="844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56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41"/>
      <c r="B26" s="846"/>
      <c r="C26" s="846"/>
      <c r="D26" s="844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56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41"/>
      <c r="B27" s="846"/>
      <c r="C27" s="846"/>
      <c r="D27" s="844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56"/>
    </row>
    <row r="28" spans="1:66" ht="18" customHeight="1">
      <c r="A28" s="841"/>
      <c r="B28" s="846"/>
      <c r="C28" s="846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56"/>
    </row>
    <row r="29" spans="1:66" ht="18" customHeight="1">
      <c r="A29" s="841"/>
      <c r="B29" s="846"/>
      <c r="C29" s="846"/>
      <c r="D29" s="844" t="s">
        <v>1400</v>
      </c>
      <c r="E29" s="844" t="s">
        <v>1400</v>
      </c>
      <c r="F29" s="843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56"/>
    </row>
    <row r="30" spans="1:66" ht="18" customHeight="1">
      <c r="A30" s="841"/>
      <c r="B30" s="846"/>
      <c r="C30" s="846"/>
      <c r="D30" s="844"/>
      <c r="E30" s="844"/>
      <c r="F30" s="843"/>
      <c r="G30" s="384">
        <v>114</v>
      </c>
      <c r="H30" s="389">
        <v>80</v>
      </c>
      <c r="I30" s="560">
        <f t="shared" si="2"/>
        <v>9120</v>
      </c>
      <c r="J30" s="856"/>
    </row>
    <row r="31" spans="1:66" ht="18" customHeight="1">
      <c r="A31" s="841"/>
      <c r="B31" s="846"/>
      <c r="C31" s="846"/>
      <c r="D31" s="844"/>
      <c r="E31" s="844"/>
      <c r="F31" s="843"/>
      <c r="G31" s="384">
        <v>171</v>
      </c>
      <c r="H31" s="389">
        <v>120</v>
      </c>
      <c r="I31" s="560">
        <f t="shared" si="2"/>
        <v>20520</v>
      </c>
      <c r="J31" s="856"/>
    </row>
    <row r="32" spans="1:66" ht="18" customHeight="1">
      <c r="A32" s="841"/>
      <c r="B32" s="846"/>
      <c r="C32" s="846"/>
      <c r="D32" s="844"/>
      <c r="E32" s="844"/>
      <c r="F32" s="843"/>
      <c r="G32" s="384">
        <v>72</v>
      </c>
      <c r="H32" s="389">
        <v>130</v>
      </c>
      <c r="I32" s="560">
        <f t="shared" si="2"/>
        <v>9360</v>
      </c>
      <c r="J32" s="856"/>
    </row>
    <row r="33" spans="1:10" ht="18" customHeight="1">
      <c r="A33" s="841"/>
      <c r="B33" s="846"/>
      <c r="C33" s="846"/>
      <c r="D33" s="844"/>
      <c r="E33" s="844"/>
      <c r="F33" s="843"/>
      <c r="G33" s="384">
        <v>4</v>
      </c>
      <c r="H33" s="389">
        <v>130</v>
      </c>
      <c r="I33" s="560">
        <f t="shared" si="2"/>
        <v>520</v>
      </c>
      <c r="J33" s="856"/>
    </row>
    <row r="34" spans="1:10" ht="18" customHeight="1">
      <c r="A34" s="841"/>
      <c r="B34" s="846"/>
      <c r="C34" s="846"/>
      <c r="D34" s="844"/>
      <c r="E34" s="844"/>
      <c r="F34" s="843"/>
      <c r="G34" s="384">
        <v>1</v>
      </c>
      <c r="H34" s="389">
        <v>6600</v>
      </c>
      <c r="I34" s="560">
        <f t="shared" si="2"/>
        <v>6600</v>
      </c>
      <c r="J34" s="856"/>
    </row>
    <row r="35" spans="1:10" ht="18" customHeight="1">
      <c r="A35" s="841"/>
      <c r="B35" s="846"/>
      <c r="C35" s="846"/>
      <c r="D35" s="844"/>
      <c r="E35" s="844"/>
      <c r="F35" s="843"/>
      <c r="G35" s="384">
        <v>70</v>
      </c>
      <c r="H35" s="389">
        <v>180</v>
      </c>
      <c r="I35" s="560">
        <f t="shared" si="2"/>
        <v>12600</v>
      </c>
      <c r="J35" s="856"/>
    </row>
    <row r="36" spans="1:10" ht="18" customHeight="1">
      <c r="A36" s="841"/>
      <c r="B36" s="846"/>
      <c r="C36" s="846"/>
      <c r="D36" s="844"/>
      <c r="E36" s="844"/>
      <c r="F36" s="843"/>
      <c r="G36" s="384">
        <v>1</v>
      </c>
      <c r="H36" s="389">
        <v>4800</v>
      </c>
      <c r="I36" s="560">
        <f t="shared" si="2"/>
        <v>4800</v>
      </c>
      <c r="J36" s="856"/>
    </row>
    <row r="37" spans="1:10" ht="18" customHeight="1">
      <c r="A37" s="841"/>
      <c r="B37" s="846"/>
      <c r="C37" s="846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56"/>
    </row>
    <row r="38" spans="1:10" ht="18" customHeight="1">
      <c r="A38" s="841"/>
      <c r="B38" s="846"/>
      <c r="C38" s="846"/>
      <c r="D38" s="844" t="s">
        <v>1403</v>
      </c>
      <c r="E38" s="844"/>
      <c r="F38" s="383" t="s">
        <v>1376</v>
      </c>
      <c r="G38" s="384">
        <v>0</v>
      </c>
      <c r="H38" s="379">
        <v>0</v>
      </c>
      <c r="I38" s="560">
        <v>0</v>
      </c>
      <c r="J38" s="856"/>
    </row>
    <row r="39" spans="1:10" ht="18" customHeight="1">
      <c r="A39" s="841"/>
      <c r="B39" s="846"/>
      <c r="C39" s="846"/>
      <c r="D39" s="844" t="s">
        <v>1404</v>
      </c>
      <c r="E39" s="844"/>
      <c r="F39" s="392" t="s">
        <v>1405</v>
      </c>
      <c r="G39" s="379">
        <v>0</v>
      </c>
      <c r="H39" s="379">
        <v>0</v>
      </c>
      <c r="I39" s="560">
        <v>0</v>
      </c>
      <c r="J39" s="856"/>
    </row>
    <row r="40" spans="1:10" s="395" customFormat="1" ht="18" customHeight="1">
      <c r="A40" s="845"/>
      <c r="B40" s="847"/>
      <c r="C40" s="847" t="s">
        <v>1406</v>
      </c>
      <c r="D40" s="847"/>
      <c r="E40" s="847"/>
      <c r="F40" s="393"/>
      <c r="G40" s="394"/>
      <c r="H40" s="394"/>
      <c r="I40" s="562">
        <f>SUM(I3:I39)</f>
        <v>1960935.0999999999</v>
      </c>
      <c r="J40" s="856"/>
    </row>
    <row r="41" spans="1:10" ht="18" customHeight="1">
      <c r="A41" s="841"/>
      <c r="B41" s="846"/>
      <c r="C41" s="859" t="s">
        <v>1407</v>
      </c>
      <c r="D41" s="859"/>
      <c r="E41" s="859"/>
      <c r="F41" s="396"/>
      <c r="G41" s="379">
        <v>0</v>
      </c>
      <c r="H41" s="860">
        <v>0.1</v>
      </c>
      <c r="I41" s="863">
        <f>H41*I40</f>
        <v>196093.51</v>
      </c>
      <c r="J41" s="856"/>
    </row>
    <row r="42" spans="1:10" ht="18" customHeight="1">
      <c r="A42" s="841"/>
      <c r="B42" s="846"/>
      <c r="C42" s="859" t="s">
        <v>1408</v>
      </c>
      <c r="D42" s="859"/>
      <c r="E42" s="859"/>
      <c r="F42" s="396"/>
      <c r="G42" s="379">
        <v>0</v>
      </c>
      <c r="H42" s="861"/>
      <c r="I42" s="864">
        <v>12829.8</v>
      </c>
      <c r="J42" s="856"/>
    </row>
    <row r="43" spans="1:10" ht="18" customHeight="1">
      <c r="A43" s="841"/>
      <c r="B43" s="846"/>
      <c r="C43" s="859" t="s">
        <v>1409</v>
      </c>
      <c r="D43" s="859"/>
      <c r="E43" s="859"/>
      <c r="F43" s="396"/>
      <c r="G43" s="379"/>
      <c r="H43" s="861"/>
      <c r="I43" s="864">
        <f>H43</f>
        <v>0</v>
      </c>
      <c r="J43" s="856"/>
    </row>
    <row r="44" spans="1:10" ht="18" customHeight="1">
      <c r="A44" s="841"/>
      <c r="B44" s="846"/>
      <c r="C44" s="859" t="s">
        <v>1410</v>
      </c>
      <c r="D44" s="859"/>
      <c r="E44" s="859"/>
      <c r="F44" s="397" t="s">
        <v>1411</v>
      </c>
      <c r="G44" s="379"/>
      <c r="H44" s="861"/>
      <c r="I44" s="864">
        <f>H44</f>
        <v>0</v>
      </c>
      <c r="J44" s="856"/>
    </row>
    <row r="45" spans="1:10" s="376" customFormat="1" ht="18" customHeight="1">
      <c r="A45" s="841"/>
      <c r="B45" s="846"/>
      <c r="C45" s="859" t="s">
        <v>1412</v>
      </c>
      <c r="D45" s="859"/>
      <c r="E45" s="859"/>
      <c r="F45" s="382" t="s">
        <v>1413</v>
      </c>
      <c r="G45" s="384"/>
      <c r="H45" s="861"/>
      <c r="I45" s="864">
        <f>H45</f>
        <v>0</v>
      </c>
      <c r="J45" s="856"/>
    </row>
    <row r="46" spans="1:10" s="376" customFormat="1" ht="18" customHeight="1">
      <c r="A46" s="841"/>
      <c r="B46" s="846"/>
      <c r="C46" s="859" t="s">
        <v>1414</v>
      </c>
      <c r="D46" s="859"/>
      <c r="E46" s="859"/>
      <c r="F46" s="396"/>
      <c r="G46" s="379">
        <v>0</v>
      </c>
      <c r="H46" s="862"/>
      <c r="I46" s="865">
        <v>0</v>
      </c>
      <c r="J46" s="856"/>
    </row>
    <row r="47" spans="1:10" s="376" customFormat="1" ht="18" customHeight="1">
      <c r="A47" s="841"/>
      <c r="B47" s="846"/>
      <c r="C47" s="859" t="s">
        <v>1415</v>
      </c>
      <c r="D47" s="859"/>
      <c r="E47" s="859"/>
      <c r="F47" s="379" t="s">
        <v>1416</v>
      </c>
      <c r="G47" s="379"/>
      <c r="H47" s="379"/>
      <c r="I47" s="560">
        <v>30000</v>
      </c>
      <c r="J47" s="856"/>
    </row>
    <row r="48" spans="1:10" s="398" customFormat="1" ht="18" customHeight="1">
      <c r="A48" s="841"/>
      <c r="B48" s="846"/>
      <c r="C48" s="859" t="s">
        <v>1417</v>
      </c>
      <c r="D48" s="859"/>
      <c r="E48" s="859"/>
      <c r="F48" s="392"/>
      <c r="G48" s="384"/>
      <c r="H48" s="379">
        <v>90000</v>
      </c>
      <c r="I48" s="560">
        <f>H48</f>
        <v>90000</v>
      </c>
      <c r="J48" s="856"/>
    </row>
    <row r="49" spans="1:10" ht="18" customHeight="1">
      <c r="A49" s="841"/>
      <c r="B49" s="846"/>
      <c r="C49" s="866" t="s">
        <v>1418</v>
      </c>
      <c r="D49" s="866"/>
      <c r="E49" s="866"/>
      <c r="F49" s="379"/>
      <c r="G49" s="379"/>
      <c r="H49" s="379"/>
      <c r="I49" s="560">
        <f>SUM(I41:I48)</f>
        <v>328923.31</v>
      </c>
      <c r="J49" s="856"/>
    </row>
    <row r="50" spans="1:10" s="395" customFormat="1" ht="18" customHeight="1">
      <c r="A50" s="845"/>
      <c r="B50" s="847"/>
      <c r="C50" s="866" t="s">
        <v>24</v>
      </c>
      <c r="D50" s="866"/>
      <c r="E50" s="866"/>
      <c r="F50" s="394"/>
      <c r="G50" s="394"/>
      <c r="H50" s="394"/>
      <c r="I50" s="562">
        <f>I49+I40</f>
        <v>2289858.4099999997</v>
      </c>
      <c r="J50" s="856"/>
    </row>
    <row r="51" spans="1:10" ht="18" customHeight="1">
      <c r="A51" s="379"/>
      <c r="B51" s="397"/>
      <c r="C51" s="845" t="s">
        <v>1540</v>
      </c>
      <c r="D51" s="845"/>
      <c r="E51" s="845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78" t="s">
        <v>1541</v>
      </c>
      <c r="B1" s="878"/>
      <c r="C1" s="878"/>
      <c r="D1" s="878"/>
      <c r="E1" s="878"/>
      <c r="F1" s="878"/>
      <c r="G1" s="878"/>
      <c r="H1" s="878"/>
      <c r="I1" s="878"/>
      <c r="J1" s="879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69" t="s">
        <v>1365</v>
      </c>
      <c r="E2" s="869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68">
        <v>1</v>
      </c>
      <c r="B3" s="868" t="s">
        <v>1420</v>
      </c>
      <c r="C3" s="411" t="s">
        <v>1421</v>
      </c>
      <c r="D3" s="868" t="s">
        <v>1422</v>
      </c>
      <c r="E3" s="868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69">
        <f>ROUND(I12*0.8,0)</f>
        <v>233968</v>
      </c>
    </row>
    <row r="4" spans="1:10 16362:16362" s="405" customFormat="1" ht="18" customHeight="1">
      <c r="A4" s="868"/>
      <c r="B4" s="868"/>
      <c r="C4" s="411" t="s">
        <v>281</v>
      </c>
      <c r="D4" s="868" t="s">
        <v>1423</v>
      </c>
      <c r="E4" s="868"/>
      <c r="F4" s="411" t="s">
        <v>1388</v>
      </c>
      <c r="G4" s="412">
        <v>104</v>
      </c>
      <c r="H4" s="413">
        <v>350</v>
      </c>
      <c r="I4" s="412">
        <f>G4*H4</f>
        <v>36400</v>
      </c>
      <c r="J4" s="880"/>
    </row>
    <row r="5" spans="1:10 16362:16362" s="410" customFormat="1" ht="18" customHeight="1">
      <c r="A5" s="870"/>
      <c r="B5" s="870"/>
      <c r="C5" s="870" t="s">
        <v>1424</v>
      </c>
      <c r="D5" s="870"/>
      <c r="E5" s="870"/>
      <c r="F5" s="414"/>
      <c r="G5" s="409"/>
      <c r="H5" s="409"/>
      <c r="I5" s="415">
        <f>I3+I4</f>
        <v>238600</v>
      </c>
      <c r="J5" s="880"/>
      <c r="XEH5" s="416"/>
    </row>
    <row r="6" spans="1:10 16362:16362" s="405" customFormat="1" ht="18" customHeight="1">
      <c r="A6" s="868"/>
      <c r="B6" s="868"/>
      <c r="C6" s="868" t="s">
        <v>1408</v>
      </c>
      <c r="D6" s="868"/>
      <c r="E6" s="868"/>
      <c r="F6" s="868" t="s">
        <v>1376</v>
      </c>
      <c r="G6" s="871">
        <v>1</v>
      </c>
      <c r="H6" s="867">
        <f>I5*0.1</f>
        <v>23860</v>
      </c>
      <c r="I6" s="867">
        <f>G6*H6</f>
        <v>23860</v>
      </c>
      <c r="J6" s="880"/>
    </row>
    <row r="7" spans="1:10 16362:16362" s="405" customFormat="1" ht="18" customHeight="1">
      <c r="A7" s="868"/>
      <c r="B7" s="868"/>
      <c r="C7" s="868" t="s">
        <v>1425</v>
      </c>
      <c r="D7" s="868"/>
      <c r="E7" s="868"/>
      <c r="F7" s="868"/>
      <c r="G7" s="871"/>
      <c r="H7" s="867"/>
      <c r="I7" s="867"/>
      <c r="J7" s="880"/>
    </row>
    <row r="8" spans="1:10 16362:16362" s="405" customFormat="1" ht="18" customHeight="1">
      <c r="A8" s="868"/>
      <c r="B8" s="868"/>
      <c r="C8" s="868" t="s">
        <v>1409</v>
      </c>
      <c r="D8" s="868"/>
      <c r="E8" s="868"/>
      <c r="F8" s="868"/>
      <c r="G8" s="871"/>
      <c r="H8" s="867"/>
      <c r="I8" s="867"/>
      <c r="J8" s="880"/>
    </row>
    <row r="9" spans="1:10 16362:16362" s="405" customFormat="1" ht="18" customHeight="1">
      <c r="A9" s="868"/>
      <c r="B9" s="868"/>
      <c r="C9" s="868" t="s">
        <v>1410</v>
      </c>
      <c r="D9" s="868"/>
      <c r="E9" s="868"/>
      <c r="F9" s="868"/>
      <c r="G9" s="871"/>
      <c r="H9" s="867"/>
      <c r="I9" s="867"/>
      <c r="J9" s="880"/>
    </row>
    <row r="10" spans="1:10 16362:16362" s="405" customFormat="1" ht="18" customHeight="1">
      <c r="A10" s="868"/>
      <c r="B10" s="868"/>
      <c r="C10" s="868" t="s">
        <v>1426</v>
      </c>
      <c r="D10" s="868"/>
      <c r="E10" s="868"/>
      <c r="F10" s="411" t="s">
        <v>1376</v>
      </c>
      <c r="G10" s="413">
        <v>1</v>
      </c>
      <c r="H10" s="417">
        <f>I10</f>
        <v>30000</v>
      </c>
      <c r="I10" s="417">
        <v>30000</v>
      </c>
      <c r="J10" s="880"/>
    </row>
    <row r="11" spans="1:10 16362:16362" s="410" customFormat="1" ht="18" customHeight="1">
      <c r="A11" s="870"/>
      <c r="B11" s="870"/>
      <c r="C11" s="870" t="s">
        <v>1427</v>
      </c>
      <c r="D11" s="870"/>
      <c r="E11" s="870"/>
      <c r="F11" s="414"/>
      <c r="G11" s="409"/>
      <c r="H11" s="409"/>
      <c r="I11" s="415">
        <f>I6+I7+I8+I9+I10</f>
        <v>53860</v>
      </c>
      <c r="J11" s="880"/>
    </row>
    <row r="12" spans="1:10 16362:16362" s="405" customFormat="1" ht="18" customHeight="1">
      <c r="A12" s="411"/>
      <c r="B12" s="411"/>
      <c r="C12" s="870" t="s">
        <v>1428</v>
      </c>
      <c r="D12" s="870"/>
      <c r="E12" s="870"/>
      <c r="F12" s="411"/>
      <c r="G12" s="409"/>
      <c r="H12" s="409"/>
      <c r="I12" s="415">
        <f>I5+I11</f>
        <v>292460</v>
      </c>
      <c r="J12" s="880"/>
    </row>
    <row r="13" spans="1:10 16362:16362" s="418" customFormat="1" ht="18" customHeight="1">
      <c r="A13" s="868">
        <v>2</v>
      </c>
      <c r="B13" s="868" t="s">
        <v>1429</v>
      </c>
      <c r="C13" s="868" t="s">
        <v>1430</v>
      </c>
      <c r="D13" s="868" t="s">
        <v>1431</v>
      </c>
      <c r="E13" s="868"/>
      <c r="F13" s="411" t="s">
        <v>1372</v>
      </c>
      <c r="G13" s="412">
        <v>2157</v>
      </c>
      <c r="H13" s="413">
        <v>122.021325915624</v>
      </c>
      <c r="I13" s="412">
        <v>263200</v>
      </c>
      <c r="J13" s="881">
        <f>ROUND(I40*0.8,0)</f>
        <v>922130</v>
      </c>
    </row>
    <row r="14" spans="1:10 16362:16362" s="418" customFormat="1" ht="18" customHeight="1">
      <c r="A14" s="868"/>
      <c r="B14" s="868"/>
      <c r="C14" s="868"/>
      <c r="D14" s="868" t="s">
        <v>1432</v>
      </c>
      <c r="E14" s="868"/>
      <c r="F14" s="411" t="s">
        <v>1372</v>
      </c>
      <c r="G14" s="412">
        <v>500</v>
      </c>
      <c r="H14" s="413">
        <v>42.6</v>
      </c>
      <c r="I14" s="412">
        <v>21300</v>
      </c>
      <c r="J14" s="882"/>
    </row>
    <row r="15" spans="1:10 16362:16362" s="418" customFormat="1" ht="18" customHeight="1">
      <c r="A15" s="868"/>
      <c r="B15" s="868"/>
      <c r="C15" s="868"/>
      <c r="D15" s="868" t="s">
        <v>1433</v>
      </c>
      <c r="E15" s="868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82"/>
    </row>
    <row r="16" spans="1:10 16362:16362" s="418" customFormat="1" ht="18" customHeight="1">
      <c r="A16" s="868"/>
      <c r="B16" s="868"/>
      <c r="C16" s="868"/>
      <c r="D16" s="868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82"/>
    </row>
    <row r="17" spans="1:16362" s="418" customFormat="1" ht="18" customHeight="1">
      <c r="A17" s="868"/>
      <c r="B17" s="868"/>
      <c r="C17" s="868"/>
      <c r="D17" s="868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82"/>
    </row>
    <row r="18" spans="1:16362" s="418" customFormat="1" ht="18" customHeight="1">
      <c r="A18" s="868"/>
      <c r="B18" s="868"/>
      <c r="C18" s="868"/>
      <c r="D18" s="868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82"/>
    </row>
    <row r="19" spans="1:16362" s="418" customFormat="1" ht="18" customHeight="1">
      <c r="A19" s="868"/>
      <c r="B19" s="868"/>
      <c r="C19" s="868"/>
      <c r="D19" s="868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82"/>
    </row>
    <row r="20" spans="1:16362" s="418" customFormat="1" ht="18" customHeight="1">
      <c r="A20" s="868"/>
      <c r="B20" s="868"/>
      <c r="C20" s="868"/>
      <c r="D20" s="868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82"/>
    </row>
    <row r="21" spans="1:16362" s="418" customFormat="1" ht="18" customHeight="1">
      <c r="A21" s="868"/>
      <c r="B21" s="868"/>
      <c r="C21" s="868"/>
      <c r="D21" s="868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82"/>
    </row>
    <row r="22" spans="1:16362" s="418" customFormat="1" ht="18" customHeight="1">
      <c r="A22" s="868"/>
      <c r="B22" s="868"/>
      <c r="C22" s="868"/>
      <c r="D22" s="868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82"/>
    </row>
    <row r="23" spans="1:16362" s="418" customFormat="1" ht="18" customHeight="1">
      <c r="A23" s="868"/>
      <c r="B23" s="868"/>
      <c r="C23" s="868"/>
      <c r="D23" s="868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82"/>
    </row>
    <row r="24" spans="1:16362" s="418" customFormat="1" ht="18" customHeight="1">
      <c r="A24" s="868"/>
      <c r="B24" s="868"/>
      <c r="C24" s="868"/>
      <c r="D24" s="868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82"/>
    </row>
    <row r="25" spans="1:16362" s="418" customFormat="1" ht="18" customHeight="1">
      <c r="A25" s="868"/>
      <c r="B25" s="868"/>
      <c r="C25" s="868"/>
      <c r="D25" s="868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82"/>
    </row>
    <row r="26" spans="1:16362" s="418" customFormat="1" ht="18" customHeight="1">
      <c r="A26" s="868"/>
      <c r="B26" s="868"/>
      <c r="C26" s="868"/>
      <c r="D26" s="868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82"/>
    </row>
    <row r="27" spans="1:16362" s="418" customFormat="1" ht="18" customHeight="1">
      <c r="A27" s="868"/>
      <c r="B27" s="868"/>
      <c r="C27" s="868"/>
      <c r="D27" s="868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82"/>
    </row>
    <row r="28" spans="1:16362" s="418" customFormat="1" ht="18" customHeight="1">
      <c r="A28" s="868"/>
      <c r="B28" s="868"/>
      <c r="C28" s="868"/>
      <c r="D28" s="868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82"/>
    </row>
    <row r="29" spans="1:16362" s="418" customFormat="1" ht="18" customHeight="1">
      <c r="A29" s="868"/>
      <c r="B29" s="868"/>
      <c r="C29" s="868"/>
      <c r="D29" s="868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82"/>
    </row>
    <row r="30" spans="1:16362" s="418" customFormat="1" ht="18" customHeight="1">
      <c r="A30" s="870"/>
      <c r="B30" s="870"/>
      <c r="C30" s="868"/>
      <c r="D30" s="868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82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70"/>
      <c r="B31" s="870"/>
      <c r="C31" s="870" t="s">
        <v>1424</v>
      </c>
      <c r="D31" s="870"/>
      <c r="E31" s="870"/>
      <c r="F31" s="414"/>
      <c r="G31" s="409"/>
      <c r="H31" s="409"/>
      <c r="I31" s="415">
        <f>SUM(I13:I30)</f>
        <v>1002421</v>
      </c>
      <c r="J31" s="882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68"/>
      <c r="B32" s="868"/>
      <c r="C32" s="872" t="s">
        <v>1408</v>
      </c>
      <c r="D32" s="872"/>
      <c r="E32" s="872"/>
      <c r="F32" s="868" t="s">
        <v>1376</v>
      </c>
      <c r="G32" s="871">
        <v>1</v>
      </c>
      <c r="H32" s="867">
        <f>I31*0.1</f>
        <v>100242.1</v>
      </c>
      <c r="I32" s="867">
        <f>G32*H32</f>
        <v>100242.1</v>
      </c>
      <c r="J32" s="882"/>
    </row>
    <row r="33" spans="1:16362" s="420" customFormat="1" ht="18" customHeight="1">
      <c r="A33" s="868"/>
      <c r="B33" s="868"/>
      <c r="C33" s="872" t="s">
        <v>1425</v>
      </c>
      <c r="D33" s="872"/>
      <c r="E33" s="872"/>
      <c r="F33" s="868"/>
      <c r="G33" s="871"/>
      <c r="H33" s="867"/>
      <c r="I33" s="867"/>
      <c r="J33" s="882"/>
    </row>
    <row r="34" spans="1:16362" s="420" customFormat="1" ht="18" customHeight="1">
      <c r="A34" s="868"/>
      <c r="B34" s="868"/>
      <c r="C34" s="872" t="s">
        <v>1409</v>
      </c>
      <c r="D34" s="872"/>
      <c r="E34" s="872"/>
      <c r="F34" s="868"/>
      <c r="G34" s="871"/>
      <c r="H34" s="867"/>
      <c r="I34" s="867"/>
      <c r="J34" s="882"/>
    </row>
    <row r="35" spans="1:16362" s="420" customFormat="1" ht="18" customHeight="1">
      <c r="A35" s="868"/>
      <c r="B35" s="868"/>
      <c r="C35" s="872" t="s">
        <v>1410</v>
      </c>
      <c r="D35" s="872"/>
      <c r="E35" s="872"/>
      <c r="F35" s="868"/>
      <c r="G35" s="871"/>
      <c r="H35" s="867"/>
      <c r="I35" s="867"/>
      <c r="J35" s="882"/>
    </row>
    <row r="36" spans="1:16362" s="420" customFormat="1" ht="18" customHeight="1">
      <c r="A36" s="868"/>
      <c r="B36" s="868"/>
      <c r="C36" s="872" t="s">
        <v>1412</v>
      </c>
      <c r="D36" s="872"/>
      <c r="E36" s="872"/>
      <c r="F36" s="868"/>
      <c r="G36" s="871"/>
      <c r="H36" s="867"/>
      <c r="I36" s="867"/>
      <c r="J36" s="882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68"/>
      <c r="B37" s="868"/>
      <c r="C37" s="872" t="s">
        <v>1415</v>
      </c>
      <c r="D37" s="872"/>
      <c r="E37" s="872"/>
      <c r="F37" s="411" t="s">
        <v>1376</v>
      </c>
      <c r="G37" s="413">
        <v>1</v>
      </c>
      <c r="H37" s="417">
        <v>18000</v>
      </c>
      <c r="I37" s="417">
        <f>H37</f>
        <v>18000</v>
      </c>
      <c r="J37" s="882"/>
    </row>
    <row r="38" spans="1:16362" s="420" customFormat="1" ht="18" customHeight="1">
      <c r="A38" s="868"/>
      <c r="B38" s="868"/>
      <c r="C38" s="872" t="s">
        <v>1446</v>
      </c>
      <c r="D38" s="872"/>
      <c r="E38" s="872"/>
      <c r="F38" s="411" t="s">
        <v>1376</v>
      </c>
      <c r="G38" s="413">
        <v>1</v>
      </c>
      <c r="H38" s="417">
        <f>I38</f>
        <v>32000</v>
      </c>
      <c r="I38" s="417">
        <v>32000</v>
      </c>
      <c r="J38" s="882"/>
    </row>
    <row r="39" spans="1:16362" s="420" customFormat="1" ht="18" customHeight="1">
      <c r="A39" s="868"/>
      <c r="B39" s="868"/>
      <c r="C39" s="870" t="s">
        <v>1427</v>
      </c>
      <c r="D39" s="870"/>
      <c r="E39" s="870"/>
      <c r="F39" s="411"/>
      <c r="G39" s="411"/>
      <c r="H39" s="409"/>
      <c r="I39" s="415">
        <f>I32+I33+I34+I35+I37+I38</f>
        <v>150242.1</v>
      </c>
      <c r="J39" s="882"/>
    </row>
    <row r="40" spans="1:16362" s="420" customFormat="1" ht="18" customHeight="1">
      <c r="A40" s="411"/>
      <c r="B40" s="411"/>
      <c r="C40" s="870" t="s">
        <v>1428</v>
      </c>
      <c r="D40" s="870"/>
      <c r="E40" s="870"/>
      <c r="F40" s="411"/>
      <c r="G40" s="411"/>
      <c r="H40" s="409"/>
      <c r="I40" s="415">
        <f>I31+I39</f>
        <v>1152663.1000000001</v>
      </c>
      <c r="J40" s="882"/>
    </row>
    <row r="41" spans="1:16362" s="405" customFormat="1" ht="18" customHeight="1">
      <c r="A41" s="868">
        <v>3</v>
      </c>
      <c r="B41" s="868" t="s">
        <v>1447</v>
      </c>
      <c r="C41" s="868" t="s">
        <v>1430</v>
      </c>
      <c r="D41" s="868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69">
        <f>ROUND(I77*0.8,0)</f>
        <v>1659473</v>
      </c>
    </row>
    <row r="42" spans="1:16362" s="405" customFormat="1" ht="18" customHeight="1">
      <c r="A42" s="868"/>
      <c r="B42" s="868"/>
      <c r="C42" s="868"/>
      <c r="D42" s="868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80"/>
    </row>
    <row r="43" spans="1:16362" s="405" customFormat="1" ht="18" customHeight="1">
      <c r="A43" s="868"/>
      <c r="B43" s="868"/>
      <c r="C43" s="868"/>
      <c r="D43" s="868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80"/>
    </row>
    <row r="44" spans="1:16362" s="405" customFormat="1" ht="18" customHeight="1">
      <c r="A44" s="868"/>
      <c r="B44" s="868"/>
      <c r="C44" s="868"/>
      <c r="D44" s="868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80"/>
    </row>
    <row r="45" spans="1:16362" s="405" customFormat="1" ht="18" customHeight="1">
      <c r="A45" s="868"/>
      <c r="B45" s="868"/>
      <c r="C45" s="868"/>
      <c r="D45" s="868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80"/>
    </row>
    <row r="46" spans="1:16362" s="405" customFormat="1" ht="18" customHeight="1">
      <c r="A46" s="868"/>
      <c r="B46" s="868"/>
      <c r="C46" s="868"/>
      <c r="D46" s="868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80"/>
    </row>
    <row r="47" spans="1:16362" s="405" customFormat="1" ht="18" customHeight="1">
      <c r="A47" s="868"/>
      <c r="B47" s="868"/>
      <c r="C47" s="868"/>
      <c r="D47" s="868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80"/>
    </row>
    <row r="48" spans="1:16362" s="405" customFormat="1" ht="18" customHeight="1">
      <c r="A48" s="868"/>
      <c r="B48" s="868"/>
      <c r="C48" s="868"/>
      <c r="D48" s="868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80"/>
    </row>
    <row r="49" spans="1:10" s="405" customFormat="1" ht="18" customHeight="1">
      <c r="A49" s="868"/>
      <c r="B49" s="868"/>
      <c r="C49" s="868"/>
      <c r="D49" s="868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80"/>
    </row>
    <row r="50" spans="1:10" s="405" customFormat="1" ht="18" customHeight="1">
      <c r="A50" s="868"/>
      <c r="B50" s="868"/>
      <c r="C50" s="868"/>
      <c r="D50" s="868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80"/>
    </row>
    <row r="51" spans="1:10" s="405" customFormat="1" ht="18" customHeight="1">
      <c r="A51" s="868"/>
      <c r="B51" s="868"/>
      <c r="C51" s="868"/>
      <c r="D51" s="868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80"/>
    </row>
    <row r="52" spans="1:10" s="405" customFormat="1" ht="18" customHeight="1">
      <c r="A52" s="868"/>
      <c r="B52" s="868"/>
      <c r="C52" s="868"/>
      <c r="D52" s="868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80"/>
    </row>
    <row r="53" spans="1:10" s="405" customFormat="1" ht="18" customHeight="1">
      <c r="A53" s="868"/>
      <c r="B53" s="868"/>
      <c r="C53" s="868"/>
      <c r="D53" s="868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80"/>
    </row>
    <row r="54" spans="1:10" s="405" customFormat="1" ht="18" customHeight="1">
      <c r="A54" s="868"/>
      <c r="B54" s="868"/>
      <c r="C54" s="868"/>
      <c r="D54" s="868" t="s">
        <v>1458</v>
      </c>
      <c r="E54" s="868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80"/>
    </row>
    <row r="55" spans="1:10" s="405" customFormat="1" ht="18" customHeight="1">
      <c r="A55" s="868"/>
      <c r="B55" s="868"/>
      <c r="C55" s="868" t="s">
        <v>1459</v>
      </c>
      <c r="D55" s="868" t="s">
        <v>1460</v>
      </c>
      <c r="E55" s="411" t="s">
        <v>1461</v>
      </c>
      <c r="F55" s="868" t="s">
        <v>1376</v>
      </c>
      <c r="G55" s="412">
        <v>1</v>
      </c>
      <c r="H55" s="413">
        <v>20000</v>
      </c>
      <c r="I55" s="412">
        <f t="shared" si="2"/>
        <v>20000</v>
      </c>
      <c r="J55" s="880"/>
    </row>
    <row r="56" spans="1:10" s="405" customFormat="1" ht="18" customHeight="1">
      <c r="A56" s="868"/>
      <c r="B56" s="868"/>
      <c r="C56" s="868"/>
      <c r="D56" s="868"/>
      <c r="E56" s="411" t="s">
        <v>1462</v>
      </c>
      <c r="F56" s="868"/>
      <c r="G56" s="412">
        <v>1</v>
      </c>
      <c r="H56" s="413">
        <v>15000</v>
      </c>
      <c r="I56" s="412">
        <f t="shared" si="2"/>
        <v>15000</v>
      </c>
      <c r="J56" s="880"/>
    </row>
    <row r="57" spans="1:10" s="405" customFormat="1" ht="18" customHeight="1">
      <c r="A57" s="868"/>
      <c r="B57" s="868"/>
      <c r="C57" s="868"/>
      <c r="D57" s="868"/>
      <c r="E57" s="411" t="s">
        <v>1463</v>
      </c>
      <c r="F57" s="868"/>
      <c r="G57" s="412">
        <v>1</v>
      </c>
      <c r="H57" s="413">
        <v>10000</v>
      </c>
      <c r="I57" s="412">
        <f t="shared" si="2"/>
        <v>10000</v>
      </c>
      <c r="J57" s="880"/>
    </row>
    <row r="58" spans="1:10" s="405" customFormat="1" ht="18" customHeight="1">
      <c r="A58" s="868"/>
      <c r="B58" s="868"/>
      <c r="C58" s="868"/>
      <c r="D58" s="868"/>
      <c r="E58" s="411" t="s">
        <v>1464</v>
      </c>
      <c r="F58" s="868"/>
      <c r="G58" s="412">
        <v>1</v>
      </c>
      <c r="H58" s="413">
        <v>25000</v>
      </c>
      <c r="I58" s="412">
        <f t="shared" si="2"/>
        <v>25000</v>
      </c>
      <c r="J58" s="880"/>
    </row>
    <row r="59" spans="1:10" s="405" customFormat="1" ht="18" customHeight="1">
      <c r="A59" s="868"/>
      <c r="B59" s="868"/>
      <c r="C59" s="868"/>
      <c r="D59" s="868"/>
      <c r="E59" s="411" t="s">
        <v>1443</v>
      </c>
      <c r="F59" s="868"/>
      <c r="G59" s="412">
        <v>1</v>
      </c>
      <c r="H59" s="413">
        <v>4000</v>
      </c>
      <c r="I59" s="412">
        <f t="shared" si="2"/>
        <v>4000</v>
      </c>
      <c r="J59" s="880"/>
    </row>
    <row r="60" spans="1:10" s="405" customFormat="1" ht="18" customHeight="1">
      <c r="A60" s="868"/>
      <c r="B60" s="868"/>
      <c r="C60" s="868"/>
      <c r="D60" s="868" t="s">
        <v>1465</v>
      </c>
      <c r="E60" s="868"/>
      <c r="F60" s="411" t="s">
        <v>1376</v>
      </c>
      <c r="G60" s="412">
        <v>1</v>
      </c>
      <c r="H60" s="413">
        <v>80000</v>
      </c>
      <c r="I60" s="412">
        <v>80000</v>
      </c>
      <c r="J60" s="880"/>
    </row>
    <row r="61" spans="1:10" s="405" customFormat="1" ht="18" customHeight="1">
      <c r="A61" s="868"/>
      <c r="B61" s="868"/>
      <c r="C61" s="868" t="s">
        <v>1466</v>
      </c>
      <c r="D61" s="868" t="s">
        <v>1467</v>
      </c>
      <c r="E61" s="868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80"/>
    </row>
    <row r="62" spans="1:10" s="405" customFormat="1" ht="18" customHeight="1">
      <c r="A62" s="868"/>
      <c r="B62" s="868"/>
      <c r="C62" s="868"/>
      <c r="D62" s="868" t="s">
        <v>1468</v>
      </c>
      <c r="E62" s="868"/>
      <c r="F62" s="411" t="s">
        <v>1376</v>
      </c>
      <c r="G62" s="412">
        <v>0</v>
      </c>
      <c r="H62" s="413">
        <v>0</v>
      </c>
      <c r="I62" s="412">
        <v>0</v>
      </c>
      <c r="J62" s="880"/>
    </row>
    <row r="63" spans="1:10" s="405" customFormat="1" ht="18" customHeight="1">
      <c r="A63" s="868"/>
      <c r="B63" s="868"/>
      <c r="C63" s="868"/>
      <c r="D63" s="868" t="s">
        <v>1469</v>
      </c>
      <c r="E63" s="868"/>
      <c r="F63" s="411" t="s">
        <v>1470</v>
      </c>
      <c r="G63" s="412">
        <v>0</v>
      </c>
      <c r="H63" s="413">
        <v>0</v>
      </c>
      <c r="I63" s="412">
        <v>0</v>
      </c>
      <c r="J63" s="880"/>
    </row>
    <row r="64" spans="1:10" s="405" customFormat="1" ht="18" customHeight="1">
      <c r="A64" s="868"/>
      <c r="B64" s="868"/>
      <c r="C64" s="868" t="s">
        <v>1471</v>
      </c>
      <c r="D64" s="868"/>
      <c r="E64" s="868"/>
      <c r="F64" s="411" t="s">
        <v>1376</v>
      </c>
      <c r="G64" s="412">
        <v>1</v>
      </c>
      <c r="H64" s="413">
        <v>25000</v>
      </c>
      <c r="I64" s="412">
        <v>25000</v>
      </c>
      <c r="J64" s="880"/>
    </row>
    <row r="65" spans="1:16362" s="405" customFormat="1" ht="18" customHeight="1">
      <c r="A65" s="868"/>
      <c r="B65" s="868"/>
      <c r="C65" s="868" t="s">
        <v>1472</v>
      </c>
      <c r="D65" s="868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80"/>
    </row>
    <row r="66" spans="1:16362" s="405" customFormat="1" ht="18" customHeight="1">
      <c r="A66" s="868"/>
      <c r="B66" s="868"/>
      <c r="C66" s="868"/>
      <c r="D66" s="868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80"/>
    </row>
    <row r="67" spans="1:16362" s="405" customFormat="1" ht="18" customHeight="1">
      <c r="A67" s="868"/>
      <c r="B67" s="868"/>
      <c r="C67" s="868" t="s">
        <v>1475</v>
      </c>
      <c r="D67" s="868" t="s">
        <v>1476</v>
      </c>
      <c r="E67" s="868"/>
      <c r="F67" s="411" t="s">
        <v>1376</v>
      </c>
      <c r="G67" s="412">
        <v>1</v>
      </c>
      <c r="H67" s="413">
        <v>20000</v>
      </c>
      <c r="I67" s="412">
        <v>20000</v>
      </c>
      <c r="J67" s="880"/>
    </row>
    <row r="68" spans="1:16362" s="405" customFormat="1" ht="18" customHeight="1">
      <c r="A68" s="868"/>
      <c r="B68" s="868"/>
      <c r="C68" s="868"/>
      <c r="D68" s="868" t="s">
        <v>1477</v>
      </c>
      <c r="E68" s="868"/>
      <c r="F68" s="411" t="s">
        <v>1376</v>
      </c>
      <c r="G68" s="412">
        <v>1</v>
      </c>
      <c r="H68" s="413">
        <v>20000</v>
      </c>
      <c r="I68" s="412">
        <v>20000</v>
      </c>
      <c r="J68" s="880"/>
    </row>
    <row r="69" spans="1:16362" s="405" customFormat="1" ht="18" customHeight="1">
      <c r="A69" s="868"/>
      <c r="B69" s="868"/>
      <c r="C69" s="870" t="s">
        <v>1424</v>
      </c>
      <c r="D69" s="870"/>
      <c r="E69" s="870"/>
      <c r="F69" s="411"/>
      <c r="G69" s="412"/>
      <c r="H69" s="412"/>
      <c r="I69" s="415">
        <f>SUM(I41:I68)</f>
        <v>1836674</v>
      </c>
      <c r="J69" s="880"/>
    </row>
    <row r="70" spans="1:16362" s="405" customFormat="1" ht="18" customHeight="1">
      <c r="A70" s="868"/>
      <c r="B70" s="868"/>
      <c r="C70" s="872" t="s">
        <v>1408</v>
      </c>
      <c r="D70" s="872"/>
      <c r="E70" s="872"/>
      <c r="F70" s="868" t="s">
        <v>1376</v>
      </c>
      <c r="G70" s="871">
        <v>1</v>
      </c>
      <c r="H70" s="867">
        <f>I69*0.1</f>
        <v>183667.40000000002</v>
      </c>
      <c r="I70" s="867">
        <f t="shared" si="3"/>
        <v>183667.40000000002</v>
      </c>
      <c r="J70" s="880"/>
    </row>
    <row r="71" spans="1:16362" s="405" customFormat="1" ht="18" customHeight="1">
      <c r="A71" s="868"/>
      <c r="B71" s="868"/>
      <c r="C71" s="872" t="s">
        <v>1425</v>
      </c>
      <c r="D71" s="872"/>
      <c r="E71" s="872"/>
      <c r="F71" s="868"/>
      <c r="G71" s="871"/>
      <c r="H71" s="867"/>
      <c r="I71" s="867"/>
      <c r="J71" s="880"/>
    </row>
    <row r="72" spans="1:16362" s="405" customFormat="1" ht="18" customHeight="1">
      <c r="A72" s="868"/>
      <c r="B72" s="868"/>
      <c r="C72" s="872" t="s">
        <v>1409</v>
      </c>
      <c r="D72" s="872"/>
      <c r="E72" s="872"/>
      <c r="F72" s="868"/>
      <c r="G72" s="871"/>
      <c r="H72" s="867"/>
      <c r="I72" s="867"/>
      <c r="J72" s="880"/>
    </row>
    <row r="73" spans="1:16362" s="405" customFormat="1" ht="18" customHeight="1">
      <c r="A73" s="868"/>
      <c r="B73" s="868"/>
      <c r="C73" s="872" t="s">
        <v>1410</v>
      </c>
      <c r="D73" s="872"/>
      <c r="E73" s="872"/>
      <c r="F73" s="868"/>
      <c r="G73" s="871"/>
      <c r="H73" s="867"/>
      <c r="I73" s="867"/>
      <c r="J73" s="880"/>
    </row>
    <row r="74" spans="1:16362" s="420" customFormat="1" ht="18" customHeight="1">
      <c r="A74" s="868"/>
      <c r="B74" s="868"/>
      <c r="C74" s="872" t="s">
        <v>1412</v>
      </c>
      <c r="D74" s="872"/>
      <c r="E74" s="872"/>
      <c r="F74" s="868"/>
      <c r="G74" s="871"/>
      <c r="H74" s="867"/>
      <c r="I74" s="867"/>
      <c r="J74" s="880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68"/>
      <c r="B75" s="868"/>
      <c r="C75" s="872" t="s">
        <v>1415</v>
      </c>
      <c r="D75" s="872"/>
      <c r="E75" s="872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80"/>
    </row>
    <row r="76" spans="1:16362" s="405" customFormat="1" ht="18" customHeight="1">
      <c r="A76" s="868"/>
      <c r="B76" s="868"/>
      <c r="C76" s="870" t="s">
        <v>1427</v>
      </c>
      <c r="D76" s="870"/>
      <c r="E76" s="870"/>
      <c r="F76" s="411"/>
      <c r="G76" s="409"/>
      <c r="H76" s="409"/>
      <c r="I76" s="415">
        <f>I70+I72+I75+I73+I71</f>
        <v>237667.40000000002</v>
      </c>
      <c r="J76" s="880"/>
    </row>
    <row r="77" spans="1:16362" s="405" customFormat="1" ht="18" customHeight="1">
      <c r="A77" s="411"/>
      <c r="B77" s="411"/>
      <c r="C77" s="870" t="s">
        <v>1428</v>
      </c>
      <c r="D77" s="870"/>
      <c r="E77" s="870"/>
      <c r="F77" s="411"/>
      <c r="G77" s="409"/>
      <c r="H77" s="409"/>
      <c r="I77" s="415">
        <f>I69+I76</f>
        <v>2074341.4</v>
      </c>
      <c r="J77" s="880"/>
    </row>
    <row r="78" spans="1:16362" s="405" customFormat="1" ht="18" customHeight="1">
      <c r="A78" s="868">
        <v>4</v>
      </c>
      <c r="B78" s="868" t="s">
        <v>1063</v>
      </c>
      <c r="C78" s="411" t="s">
        <v>1430</v>
      </c>
      <c r="D78" s="868" t="s">
        <v>1478</v>
      </c>
      <c r="E78" s="868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69">
        <f>ROUND(I85*0.8,0)</f>
        <v>217360</v>
      </c>
    </row>
    <row r="79" spans="1:16362" s="410" customFormat="1" ht="18" customHeight="1">
      <c r="A79" s="870"/>
      <c r="B79" s="870"/>
      <c r="C79" s="870" t="s">
        <v>1424</v>
      </c>
      <c r="D79" s="870"/>
      <c r="E79" s="870"/>
      <c r="F79" s="414"/>
      <c r="G79" s="409"/>
      <c r="H79" s="409"/>
      <c r="I79" s="415">
        <f>SUM(I78:I78)</f>
        <v>247000</v>
      </c>
      <c r="J79" s="880"/>
      <c r="XEH79" s="416"/>
    </row>
    <row r="80" spans="1:16362" s="405" customFormat="1" ht="18" customHeight="1">
      <c r="A80" s="868"/>
      <c r="B80" s="868"/>
      <c r="C80" s="872" t="s">
        <v>1408</v>
      </c>
      <c r="D80" s="872"/>
      <c r="E80" s="872"/>
      <c r="F80" s="868" t="s">
        <v>1376</v>
      </c>
      <c r="G80" s="871">
        <v>1</v>
      </c>
      <c r="H80" s="867">
        <f>I79*0.1</f>
        <v>24700</v>
      </c>
      <c r="I80" s="867">
        <f t="shared" si="4"/>
        <v>24700</v>
      </c>
      <c r="J80" s="880"/>
    </row>
    <row r="81" spans="1:10" s="405" customFormat="1" ht="18" customHeight="1">
      <c r="A81" s="868"/>
      <c r="B81" s="868"/>
      <c r="C81" s="872" t="s">
        <v>1425</v>
      </c>
      <c r="D81" s="872"/>
      <c r="E81" s="872"/>
      <c r="F81" s="868"/>
      <c r="G81" s="871"/>
      <c r="H81" s="867"/>
      <c r="I81" s="867"/>
      <c r="J81" s="880"/>
    </row>
    <row r="82" spans="1:10" s="405" customFormat="1" ht="18" customHeight="1">
      <c r="A82" s="868"/>
      <c r="B82" s="868"/>
      <c r="C82" s="872" t="s">
        <v>1409</v>
      </c>
      <c r="D82" s="872"/>
      <c r="E82" s="872"/>
      <c r="F82" s="868"/>
      <c r="G82" s="871"/>
      <c r="H82" s="867"/>
      <c r="I82" s="867"/>
      <c r="J82" s="880"/>
    </row>
    <row r="83" spans="1:10" s="405" customFormat="1" ht="18" customHeight="1">
      <c r="A83" s="868"/>
      <c r="B83" s="868"/>
      <c r="C83" s="872" t="s">
        <v>1410</v>
      </c>
      <c r="D83" s="872"/>
      <c r="E83" s="872"/>
      <c r="F83" s="868"/>
      <c r="G83" s="871"/>
      <c r="H83" s="867"/>
      <c r="I83" s="867"/>
      <c r="J83" s="880"/>
    </row>
    <row r="84" spans="1:10" s="405" customFormat="1" ht="18" customHeight="1">
      <c r="A84" s="868"/>
      <c r="B84" s="868"/>
      <c r="C84" s="870" t="s">
        <v>1427</v>
      </c>
      <c r="D84" s="870"/>
      <c r="E84" s="870"/>
      <c r="F84" s="411"/>
      <c r="G84" s="409"/>
      <c r="H84" s="409"/>
      <c r="I84" s="415">
        <f>I80+I81+I82+I83</f>
        <v>24700</v>
      </c>
      <c r="J84" s="880"/>
    </row>
    <row r="85" spans="1:10" s="405" customFormat="1" ht="18" customHeight="1">
      <c r="A85" s="411"/>
      <c r="B85" s="411"/>
      <c r="C85" s="870" t="s">
        <v>1428</v>
      </c>
      <c r="D85" s="870"/>
      <c r="E85" s="870"/>
      <c r="F85" s="411"/>
      <c r="G85" s="409"/>
      <c r="H85" s="409"/>
      <c r="I85" s="415">
        <f>SUM(I79,I84)</f>
        <v>271700</v>
      </c>
      <c r="J85" s="880"/>
    </row>
    <row r="86" spans="1:10" s="405" customFormat="1" ht="18" customHeight="1">
      <c r="A86" s="873">
        <v>5</v>
      </c>
      <c r="B86" s="868" t="s">
        <v>1480</v>
      </c>
      <c r="C86" s="868" t="s">
        <v>1481</v>
      </c>
      <c r="D86" s="868" t="s">
        <v>1482</v>
      </c>
      <c r="E86" s="868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69">
        <f>ROUND(I121*0.8,0)</f>
        <v>413029</v>
      </c>
    </row>
    <row r="87" spans="1:10" s="405" customFormat="1" ht="18" customHeight="1">
      <c r="A87" s="873"/>
      <c r="B87" s="868"/>
      <c r="C87" s="868"/>
      <c r="D87" s="868" t="s">
        <v>1483</v>
      </c>
      <c r="E87" s="868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80"/>
    </row>
    <row r="88" spans="1:10" s="405" customFormat="1" ht="18" customHeight="1">
      <c r="A88" s="873"/>
      <c r="B88" s="868"/>
      <c r="C88" s="868"/>
      <c r="D88" s="868" t="s">
        <v>1484</v>
      </c>
      <c r="E88" s="868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80"/>
    </row>
    <row r="89" spans="1:10" s="405" customFormat="1" ht="18" customHeight="1">
      <c r="A89" s="873"/>
      <c r="B89" s="868"/>
      <c r="C89" s="868"/>
      <c r="D89" s="868" t="s">
        <v>1486</v>
      </c>
      <c r="E89" s="868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80"/>
    </row>
    <row r="90" spans="1:10" s="405" customFormat="1" ht="18" customHeight="1">
      <c r="A90" s="873"/>
      <c r="B90" s="868"/>
      <c r="C90" s="868"/>
      <c r="D90" s="868" t="s">
        <v>1487</v>
      </c>
      <c r="E90" s="868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80"/>
    </row>
    <row r="91" spans="1:10" s="405" customFormat="1" ht="18" customHeight="1">
      <c r="A91" s="873"/>
      <c r="B91" s="868"/>
      <c r="C91" s="868"/>
      <c r="D91" s="868" t="s">
        <v>1488</v>
      </c>
      <c r="E91" s="868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80"/>
    </row>
    <row r="92" spans="1:10" s="405" customFormat="1" ht="18" customHeight="1">
      <c r="A92" s="873"/>
      <c r="B92" s="868"/>
      <c r="C92" s="868" t="s">
        <v>1489</v>
      </c>
      <c r="D92" s="868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80"/>
    </row>
    <row r="93" spans="1:10" s="405" customFormat="1" ht="18" customHeight="1">
      <c r="A93" s="873"/>
      <c r="B93" s="868"/>
      <c r="C93" s="868"/>
      <c r="D93" s="868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80"/>
    </row>
    <row r="94" spans="1:10" s="405" customFormat="1" ht="18" customHeight="1">
      <c r="A94" s="873"/>
      <c r="B94" s="868"/>
      <c r="C94" s="868"/>
      <c r="D94" s="868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80"/>
    </row>
    <row r="95" spans="1:10" s="405" customFormat="1" ht="18" customHeight="1">
      <c r="A95" s="873"/>
      <c r="B95" s="868"/>
      <c r="C95" s="868"/>
      <c r="D95" s="868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80"/>
    </row>
    <row r="96" spans="1:10" s="405" customFormat="1" ht="18" customHeight="1">
      <c r="A96" s="873"/>
      <c r="B96" s="868"/>
      <c r="C96" s="868"/>
      <c r="D96" s="868" t="s">
        <v>1494</v>
      </c>
      <c r="E96" s="868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80"/>
    </row>
    <row r="97" spans="1:10" s="405" customFormat="1" ht="18" customHeight="1">
      <c r="A97" s="873"/>
      <c r="B97" s="868"/>
      <c r="C97" s="868"/>
      <c r="D97" s="868" t="s">
        <v>1495</v>
      </c>
      <c r="E97" s="868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80"/>
    </row>
    <row r="98" spans="1:10" s="405" customFormat="1" ht="18" customHeight="1">
      <c r="A98" s="873"/>
      <c r="B98" s="868"/>
      <c r="C98" s="868"/>
      <c r="D98" s="868" t="s">
        <v>1496</v>
      </c>
      <c r="E98" s="868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80"/>
    </row>
    <row r="99" spans="1:10" s="405" customFormat="1" ht="18" customHeight="1">
      <c r="A99" s="873"/>
      <c r="B99" s="868"/>
      <c r="C99" s="868"/>
      <c r="D99" s="868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80"/>
    </row>
    <row r="100" spans="1:10" s="405" customFormat="1" ht="18" customHeight="1">
      <c r="A100" s="873"/>
      <c r="B100" s="868"/>
      <c r="C100" s="868"/>
      <c r="D100" s="868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80"/>
    </row>
    <row r="101" spans="1:10" s="405" customFormat="1" ht="18" customHeight="1">
      <c r="A101" s="873"/>
      <c r="B101" s="868"/>
      <c r="C101" s="868"/>
      <c r="D101" s="868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80"/>
    </row>
    <row r="102" spans="1:10" s="405" customFormat="1" ht="18" customHeight="1">
      <c r="A102" s="873"/>
      <c r="B102" s="868"/>
      <c r="C102" s="868"/>
      <c r="D102" s="868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80"/>
    </row>
    <row r="103" spans="1:10" s="405" customFormat="1" ht="18" customHeight="1">
      <c r="A103" s="873"/>
      <c r="B103" s="868"/>
      <c r="C103" s="868"/>
      <c r="D103" s="868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80"/>
    </row>
    <row r="104" spans="1:10" s="405" customFormat="1" ht="18" customHeight="1">
      <c r="A104" s="873"/>
      <c r="B104" s="868"/>
      <c r="C104" s="868"/>
      <c r="D104" s="868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80"/>
    </row>
    <row r="105" spans="1:10" s="405" customFormat="1" ht="18" customHeight="1">
      <c r="A105" s="873"/>
      <c r="B105" s="868"/>
      <c r="C105" s="868"/>
      <c r="D105" s="868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80"/>
    </row>
    <row r="106" spans="1:10" s="405" customFormat="1" ht="18" customHeight="1">
      <c r="A106" s="873"/>
      <c r="B106" s="868"/>
      <c r="C106" s="868"/>
      <c r="D106" s="868" t="s">
        <v>1506</v>
      </c>
      <c r="E106" s="868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80"/>
    </row>
    <row r="107" spans="1:10" s="405" customFormat="1" ht="18" customHeight="1">
      <c r="A107" s="873"/>
      <c r="B107" s="868"/>
      <c r="C107" s="868" t="s">
        <v>1507</v>
      </c>
      <c r="D107" s="868" t="s">
        <v>1508</v>
      </c>
      <c r="E107" s="868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80"/>
    </row>
    <row r="108" spans="1:10" s="405" customFormat="1" ht="18" customHeight="1">
      <c r="A108" s="873"/>
      <c r="B108" s="868"/>
      <c r="C108" s="868"/>
      <c r="D108" s="868" t="s">
        <v>1509</v>
      </c>
      <c r="E108" s="868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80"/>
    </row>
    <row r="109" spans="1:10" s="405" customFormat="1" ht="18" customHeight="1">
      <c r="A109" s="873"/>
      <c r="B109" s="868"/>
      <c r="C109" s="868"/>
      <c r="D109" s="868" t="s">
        <v>1510</v>
      </c>
      <c r="E109" s="868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80"/>
    </row>
    <row r="110" spans="1:10" s="405" customFormat="1" ht="18" customHeight="1">
      <c r="A110" s="873"/>
      <c r="B110" s="868"/>
      <c r="C110" s="868" t="s">
        <v>1511</v>
      </c>
      <c r="D110" s="873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80"/>
    </row>
    <row r="111" spans="1:10" s="405" customFormat="1" ht="18" customHeight="1">
      <c r="A111" s="873"/>
      <c r="B111" s="868"/>
      <c r="C111" s="868"/>
      <c r="D111" s="873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80"/>
    </row>
    <row r="112" spans="1:10" s="405" customFormat="1" ht="18" customHeight="1">
      <c r="A112" s="873"/>
      <c r="B112" s="868"/>
      <c r="C112" s="868"/>
      <c r="D112" s="873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80"/>
    </row>
    <row r="113" spans="1:10 16362:16362" s="405" customFormat="1" ht="18" customHeight="1">
      <c r="A113" s="873"/>
      <c r="B113" s="868"/>
      <c r="C113" s="868"/>
      <c r="D113" s="873" t="s">
        <v>1515</v>
      </c>
      <c r="E113" s="873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80"/>
    </row>
    <row r="114" spans="1:10 16362:16362" s="405" customFormat="1" ht="18" customHeight="1">
      <c r="A114" s="873"/>
      <c r="B114" s="868"/>
      <c r="C114" s="868"/>
      <c r="D114" s="873" t="s">
        <v>1516</v>
      </c>
      <c r="E114" s="873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80"/>
    </row>
    <row r="115" spans="1:10 16362:16362" s="410" customFormat="1" ht="18" customHeight="1">
      <c r="A115" s="869"/>
      <c r="B115" s="870"/>
      <c r="C115" s="870" t="s">
        <v>1424</v>
      </c>
      <c r="D115" s="870"/>
      <c r="E115" s="870"/>
      <c r="F115" s="414"/>
      <c r="G115" s="409"/>
      <c r="H115" s="409"/>
      <c r="I115" s="415">
        <f>SUM(I86:I114)</f>
        <v>469351.03</v>
      </c>
      <c r="J115" s="880"/>
      <c r="XEH115" s="416"/>
    </row>
    <row r="116" spans="1:10 16362:16362" s="405" customFormat="1" ht="18" customHeight="1">
      <c r="A116" s="873"/>
      <c r="B116" s="868"/>
      <c r="C116" s="872" t="s">
        <v>1408</v>
      </c>
      <c r="D116" s="872"/>
      <c r="E116" s="872"/>
      <c r="F116" s="868" t="s">
        <v>1376</v>
      </c>
      <c r="G116" s="871">
        <v>1</v>
      </c>
      <c r="H116" s="874">
        <f>I115*0.1</f>
        <v>46935.103000000003</v>
      </c>
      <c r="I116" s="874">
        <f>G116*H116</f>
        <v>46935.103000000003</v>
      </c>
      <c r="J116" s="880"/>
    </row>
    <row r="117" spans="1:10 16362:16362" s="405" customFormat="1" ht="18" customHeight="1">
      <c r="A117" s="873"/>
      <c r="B117" s="868"/>
      <c r="C117" s="872" t="s">
        <v>1425</v>
      </c>
      <c r="D117" s="872"/>
      <c r="E117" s="872"/>
      <c r="F117" s="868"/>
      <c r="G117" s="871"/>
      <c r="H117" s="874"/>
      <c r="I117" s="875"/>
      <c r="J117" s="880"/>
    </row>
    <row r="118" spans="1:10 16362:16362" s="405" customFormat="1" ht="18" customHeight="1">
      <c r="A118" s="873"/>
      <c r="B118" s="868"/>
      <c r="C118" s="872" t="s">
        <v>1409</v>
      </c>
      <c r="D118" s="872"/>
      <c r="E118" s="872"/>
      <c r="F118" s="868"/>
      <c r="G118" s="871"/>
      <c r="H118" s="874"/>
      <c r="I118" s="875"/>
      <c r="J118" s="880"/>
    </row>
    <row r="119" spans="1:10 16362:16362" s="405" customFormat="1" ht="18" customHeight="1">
      <c r="A119" s="873"/>
      <c r="B119" s="868"/>
      <c r="C119" s="872" t="s">
        <v>1410</v>
      </c>
      <c r="D119" s="872"/>
      <c r="E119" s="872"/>
      <c r="F119" s="868"/>
      <c r="G119" s="871"/>
      <c r="H119" s="874"/>
      <c r="I119" s="875"/>
      <c r="J119" s="880"/>
    </row>
    <row r="120" spans="1:10 16362:16362" s="405" customFormat="1" ht="18" customHeight="1">
      <c r="A120" s="873"/>
      <c r="B120" s="868"/>
      <c r="C120" s="870" t="s">
        <v>1427</v>
      </c>
      <c r="D120" s="870"/>
      <c r="E120" s="870"/>
      <c r="F120" s="411"/>
      <c r="G120" s="409"/>
      <c r="H120" s="409"/>
      <c r="I120" s="415">
        <f>SUM(I116:I119)</f>
        <v>46935.103000000003</v>
      </c>
      <c r="J120" s="880"/>
    </row>
    <row r="121" spans="1:10 16362:16362" s="405" customFormat="1" ht="18" customHeight="1">
      <c r="A121" s="407"/>
      <c r="B121" s="411"/>
      <c r="C121" s="870" t="s">
        <v>1428</v>
      </c>
      <c r="D121" s="870"/>
      <c r="E121" s="870"/>
      <c r="F121" s="411"/>
      <c r="G121" s="409"/>
      <c r="H121" s="409"/>
      <c r="I121" s="415">
        <f>I115+I120</f>
        <v>516286.13300000003</v>
      </c>
      <c r="J121" s="880"/>
    </row>
    <row r="122" spans="1:10 16362:16362" s="405" customFormat="1" ht="18" customHeight="1">
      <c r="A122" s="868">
        <v>6</v>
      </c>
      <c r="B122" s="868" t="s">
        <v>1517</v>
      </c>
      <c r="C122" s="868" t="s">
        <v>1518</v>
      </c>
      <c r="D122" s="868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69">
        <f>ROUND(I147*0.8,0)</f>
        <v>728312</v>
      </c>
    </row>
    <row r="123" spans="1:10 16362:16362" s="405" customFormat="1" ht="18" customHeight="1">
      <c r="A123" s="868"/>
      <c r="B123" s="868"/>
      <c r="C123" s="868"/>
      <c r="D123" s="868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80"/>
    </row>
    <row r="124" spans="1:10 16362:16362" s="405" customFormat="1" ht="18" customHeight="1">
      <c r="A124" s="868"/>
      <c r="B124" s="868"/>
      <c r="C124" s="868"/>
      <c r="D124" s="868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80"/>
    </row>
    <row r="125" spans="1:10 16362:16362" s="405" customFormat="1" ht="18" customHeight="1">
      <c r="A125" s="868"/>
      <c r="B125" s="868"/>
      <c r="C125" s="868"/>
      <c r="D125" s="868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80"/>
    </row>
    <row r="126" spans="1:10 16362:16362" s="405" customFormat="1" ht="18" customHeight="1">
      <c r="A126" s="868"/>
      <c r="B126" s="868"/>
      <c r="C126" s="868"/>
      <c r="D126" s="868" t="s">
        <v>1522</v>
      </c>
      <c r="E126" s="868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80"/>
    </row>
    <row r="127" spans="1:10 16362:16362" s="405" customFormat="1" ht="18" customHeight="1">
      <c r="A127" s="868"/>
      <c r="B127" s="868"/>
      <c r="C127" s="868"/>
      <c r="D127" s="868" t="s">
        <v>1523</v>
      </c>
      <c r="E127" s="868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80"/>
    </row>
    <row r="128" spans="1:10 16362:16362" s="405" customFormat="1" ht="18" customHeight="1">
      <c r="A128" s="868"/>
      <c r="B128" s="868"/>
      <c r="C128" s="868"/>
      <c r="D128" s="868" t="s">
        <v>1524</v>
      </c>
      <c r="E128" s="868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80"/>
    </row>
    <row r="129" spans="1:10 16362:16362" s="405" customFormat="1" ht="18" customHeight="1">
      <c r="A129" s="868"/>
      <c r="B129" s="868"/>
      <c r="C129" s="868" t="s">
        <v>1526</v>
      </c>
      <c r="D129" s="868" t="s">
        <v>1527</v>
      </c>
      <c r="E129" s="868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80"/>
    </row>
    <row r="130" spans="1:10 16362:16362" s="405" customFormat="1" ht="18" customHeight="1">
      <c r="A130" s="868"/>
      <c r="B130" s="868"/>
      <c r="C130" s="868"/>
      <c r="D130" s="868" t="s">
        <v>1528</v>
      </c>
      <c r="E130" s="868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80"/>
    </row>
    <row r="131" spans="1:10 16362:16362" s="405" customFormat="1" ht="18" customHeight="1">
      <c r="A131" s="868"/>
      <c r="B131" s="868"/>
      <c r="C131" s="868"/>
      <c r="D131" s="868" t="s">
        <v>1477</v>
      </c>
      <c r="E131" s="868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80"/>
    </row>
    <row r="132" spans="1:10 16362:16362" s="405" customFormat="1" ht="18" customHeight="1">
      <c r="A132" s="868"/>
      <c r="B132" s="868"/>
      <c r="C132" s="868" t="s">
        <v>281</v>
      </c>
      <c r="D132" s="868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80"/>
    </row>
    <row r="133" spans="1:10 16362:16362" s="405" customFormat="1" ht="18" customHeight="1">
      <c r="A133" s="868"/>
      <c r="B133" s="868"/>
      <c r="C133" s="868"/>
      <c r="D133" s="868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80"/>
    </row>
    <row r="134" spans="1:10 16362:16362" s="405" customFormat="1" ht="18" customHeight="1">
      <c r="A134" s="868"/>
      <c r="B134" s="868"/>
      <c r="C134" s="868"/>
      <c r="D134" s="868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80"/>
    </row>
    <row r="135" spans="1:10 16362:16362" s="405" customFormat="1" ht="18" customHeight="1">
      <c r="A135" s="868"/>
      <c r="B135" s="868"/>
      <c r="C135" s="868"/>
      <c r="D135" s="868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80"/>
    </row>
    <row r="136" spans="1:10 16362:16362" s="405" customFormat="1" ht="18" customHeight="1">
      <c r="A136" s="868"/>
      <c r="B136" s="868"/>
      <c r="C136" s="868"/>
      <c r="D136" s="868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80"/>
    </row>
    <row r="137" spans="1:10 16362:16362" s="405" customFormat="1" ht="18" customHeight="1">
      <c r="A137" s="868"/>
      <c r="B137" s="868"/>
      <c r="C137" s="868"/>
      <c r="D137" s="868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80"/>
    </row>
    <row r="138" spans="1:10 16362:16362" s="405" customFormat="1" ht="18" customHeight="1">
      <c r="A138" s="868"/>
      <c r="B138" s="868"/>
      <c r="C138" s="868"/>
      <c r="D138" s="868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80"/>
    </row>
    <row r="139" spans="1:10 16362:16362" s="405" customFormat="1" ht="18" customHeight="1">
      <c r="A139" s="868"/>
      <c r="B139" s="868"/>
      <c r="C139" s="868"/>
      <c r="D139" s="868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80"/>
    </row>
    <row r="140" spans="1:10 16362:16362" s="410" customFormat="1" ht="18" customHeight="1">
      <c r="A140" s="870"/>
      <c r="B140" s="870"/>
      <c r="C140" s="870" t="s">
        <v>1424</v>
      </c>
      <c r="D140" s="870"/>
      <c r="E140" s="870"/>
      <c r="F140" s="414"/>
      <c r="G140" s="409"/>
      <c r="H140" s="409"/>
      <c r="I140" s="415">
        <f>SUM(I122:I139)</f>
        <v>645808.98999999987</v>
      </c>
      <c r="J140" s="880"/>
      <c r="XEH140" s="416"/>
    </row>
    <row r="141" spans="1:10 16362:16362" s="405" customFormat="1" ht="18" customHeight="1">
      <c r="A141" s="868"/>
      <c r="B141" s="868"/>
      <c r="C141" s="872" t="s">
        <v>1408</v>
      </c>
      <c r="D141" s="872"/>
      <c r="E141" s="872"/>
      <c r="F141" s="868" t="s">
        <v>1376</v>
      </c>
      <c r="G141" s="871">
        <v>1</v>
      </c>
      <c r="H141" s="867">
        <f>I140*0.1</f>
        <v>64580.89899999999</v>
      </c>
      <c r="I141" s="873">
        <f>G141*H141</f>
        <v>64580.89899999999</v>
      </c>
      <c r="J141" s="880"/>
    </row>
    <row r="142" spans="1:10 16362:16362" s="405" customFormat="1" ht="18" customHeight="1">
      <c r="A142" s="868"/>
      <c r="B142" s="868"/>
      <c r="C142" s="872" t="s">
        <v>1425</v>
      </c>
      <c r="D142" s="872"/>
      <c r="E142" s="872"/>
      <c r="F142" s="868"/>
      <c r="G142" s="871"/>
      <c r="H142" s="867"/>
      <c r="I142" s="873"/>
      <c r="J142" s="880"/>
    </row>
    <row r="143" spans="1:10 16362:16362" s="405" customFormat="1" ht="18" customHeight="1">
      <c r="A143" s="868"/>
      <c r="B143" s="868"/>
      <c r="C143" s="872" t="s">
        <v>1409</v>
      </c>
      <c r="D143" s="872"/>
      <c r="E143" s="872"/>
      <c r="F143" s="868"/>
      <c r="G143" s="871"/>
      <c r="H143" s="867"/>
      <c r="I143" s="873"/>
      <c r="J143" s="880"/>
    </row>
    <row r="144" spans="1:10 16362:16362" s="405" customFormat="1" ht="18" customHeight="1">
      <c r="A144" s="868"/>
      <c r="B144" s="868"/>
      <c r="C144" s="872" t="s">
        <v>1410</v>
      </c>
      <c r="D144" s="872"/>
      <c r="E144" s="872"/>
      <c r="F144" s="868"/>
      <c r="G144" s="871"/>
      <c r="H144" s="867"/>
      <c r="I144" s="873"/>
      <c r="J144" s="880"/>
    </row>
    <row r="145" spans="1:10 16362:16362" s="405" customFormat="1" ht="18" customHeight="1">
      <c r="A145" s="868"/>
      <c r="B145" s="868"/>
      <c r="C145" s="872" t="s">
        <v>1534</v>
      </c>
      <c r="D145" s="872"/>
      <c r="E145" s="872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80"/>
    </row>
    <row r="146" spans="1:10 16362:16362" s="405" customFormat="1" ht="18" customHeight="1">
      <c r="A146" s="868"/>
      <c r="B146" s="868"/>
      <c r="C146" s="870" t="s">
        <v>1427</v>
      </c>
      <c r="D146" s="870"/>
      <c r="E146" s="870"/>
      <c r="F146" s="411"/>
      <c r="G146" s="409"/>
      <c r="H146" s="409"/>
      <c r="I146" s="409">
        <f>SUM(I141:I145)</f>
        <v>264580.89899999998</v>
      </c>
      <c r="J146" s="880"/>
    </row>
    <row r="147" spans="1:10 16362:16362" s="405" customFormat="1" ht="18" customHeight="1">
      <c r="A147" s="411"/>
      <c r="B147" s="411"/>
      <c r="C147" s="870" t="s">
        <v>1428</v>
      </c>
      <c r="D147" s="870"/>
      <c r="E147" s="870"/>
      <c r="F147" s="411"/>
      <c r="G147" s="409"/>
      <c r="H147" s="409"/>
      <c r="I147" s="409">
        <f>SUM(I146,I140)</f>
        <v>910389.88899999985</v>
      </c>
      <c r="J147" s="880"/>
    </row>
    <row r="148" spans="1:10 16362:16362" s="405" customFormat="1" ht="18" customHeight="1">
      <c r="A148" s="868">
        <v>7</v>
      </c>
      <c r="B148" s="868" t="s">
        <v>1535</v>
      </c>
      <c r="C148" s="868" t="s">
        <v>1421</v>
      </c>
      <c r="D148" s="868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69">
        <f>ROUND(I158*0.8,0)</f>
        <v>544734</v>
      </c>
      <c r="XEH148" s="406"/>
    </row>
    <row r="149" spans="1:10 16362:16362" s="405" customFormat="1" ht="18" customHeight="1">
      <c r="A149" s="868"/>
      <c r="B149" s="868"/>
      <c r="C149" s="868"/>
      <c r="D149" s="868"/>
      <c r="E149" s="422" t="s">
        <v>1538</v>
      </c>
      <c r="F149" s="411" t="s">
        <v>1372</v>
      </c>
      <c r="G149" s="874">
        <v>2006.5</v>
      </c>
      <c r="H149" s="874">
        <v>285</v>
      </c>
      <c r="I149" s="874">
        <v>571852.5</v>
      </c>
      <c r="J149" s="869"/>
      <c r="XEH149" s="406"/>
    </row>
    <row r="150" spans="1:10 16362:16362" s="405" customFormat="1" ht="18" customHeight="1">
      <c r="A150" s="868"/>
      <c r="B150" s="868"/>
      <c r="C150" s="868"/>
      <c r="D150" s="868"/>
      <c r="E150" s="422" t="s">
        <v>1539</v>
      </c>
      <c r="F150" s="411" t="s">
        <v>1372</v>
      </c>
      <c r="G150" s="875"/>
      <c r="H150" s="875"/>
      <c r="I150" s="875"/>
      <c r="J150" s="869"/>
      <c r="XEH150" s="406"/>
    </row>
    <row r="151" spans="1:10 16362:16362" s="405" customFormat="1" ht="18" customHeight="1">
      <c r="A151" s="868"/>
      <c r="B151" s="868"/>
      <c r="C151" s="870" t="s">
        <v>1424</v>
      </c>
      <c r="D151" s="870"/>
      <c r="E151" s="870"/>
      <c r="F151" s="411"/>
      <c r="G151" s="409"/>
      <c r="H151" s="409"/>
      <c r="I151" s="409">
        <f>SUM(I148:I149)</f>
        <v>591743.34</v>
      </c>
      <c r="J151" s="869"/>
      <c r="XEH151" s="406"/>
    </row>
    <row r="152" spans="1:10 16362:16362" s="405" customFormat="1" ht="18" customHeight="1">
      <c r="A152" s="868"/>
      <c r="B152" s="868"/>
      <c r="C152" s="876" t="s">
        <v>1408</v>
      </c>
      <c r="D152" s="876"/>
      <c r="E152" s="876"/>
      <c r="F152" s="411" t="s">
        <v>1376</v>
      </c>
      <c r="G152" s="874">
        <v>1</v>
      </c>
      <c r="H152" s="874">
        <f>I151*0.1</f>
        <v>59174.334000000003</v>
      </c>
      <c r="I152" s="874">
        <f>G152*H152</f>
        <v>59174.334000000003</v>
      </c>
      <c r="J152" s="869"/>
      <c r="XEH152" s="406"/>
    </row>
    <row r="153" spans="1:10 16362:16362" s="405" customFormat="1" ht="18" customHeight="1">
      <c r="A153" s="868"/>
      <c r="B153" s="868"/>
      <c r="C153" s="876" t="s">
        <v>1425</v>
      </c>
      <c r="D153" s="876"/>
      <c r="E153" s="876"/>
      <c r="F153" s="411" t="s">
        <v>1376</v>
      </c>
      <c r="G153" s="874"/>
      <c r="H153" s="874"/>
      <c r="I153" s="874"/>
      <c r="J153" s="869"/>
      <c r="XEH153" s="406"/>
    </row>
    <row r="154" spans="1:10 16362:16362" s="405" customFormat="1" ht="18" customHeight="1">
      <c r="A154" s="868"/>
      <c r="B154" s="868"/>
      <c r="C154" s="876" t="s">
        <v>1409</v>
      </c>
      <c r="D154" s="876"/>
      <c r="E154" s="876"/>
      <c r="F154" s="411" t="s">
        <v>1376</v>
      </c>
      <c r="G154" s="874"/>
      <c r="H154" s="874"/>
      <c r="I154" s="874"/>
      <c r="J154" s="869"/>
      <c r="XEH154" s="406"/>
    </row>
    <row r="155" spans="1:10 16362:16362" s="405" customFormat="1" ht="18" customHeight="1">
      <c r="A155" s="868"/>
      <c r="B155" s="868"/>
      <c r="C155" s="876" t="s">
        <v>1410</v>
      </c>
      <c r="D155" s="876"/>
      <c r="E155" s="876"/>
      <c r="F155" s="411" t="s">
        <v>1376</v>
      </c>
      <c r="G155" s="874"/>
      <c r="H155" s="874"/>
      <c r="I155" s="874"/>
      <c r="J155" s="869"/>
      <c r="XEH155" s="406"/>
    </row>
    <row r="156" spans="1:10 16362:16362" s="405" customFormat="1" ht="18" customHeight="1">
      <c r="A156" s="868"/>
      <c r="B156" s="868"/>
      <c r="C156" s="876" t="s">
        <v>1426</v>
      </c>
      <c r="D156" s="876"/>
      <c r="E156" s="876"/>
      <c r="F156" s="411" t="s">
        <v>1376</v>
      </c>
      <c r="G156" s="412">
        <v>1</v>
      </c>
      <c r="H156" s="412">
        <v>30000</v>
      </c>
      <c r="I156" s="412">
        <v>30000</v>
      </c>
      <c r="J156" s="869"/>
      <c r="XEH156" s="406"/>
    </row>
    <row r="157" spans="1:10 16362:16362" s="405" customFormat="1" ht="18" customHeight="1">
      <c r="A157" s="868"/>
      <c r="B157" s="868"/>
      <c r="C157" s="870" t="s">
        <v>1427</v>
      </c>
      <c r="D157" s="870"/>
      <c r="E157" s="870"/>
      <c r="F157" s="409"/>
      <c r="G157" s="409"/>
      <c r="H157" s="409"/>
      <c r="I157" s="409">
        <f>SUM(I152:I156)</f>
        <v>89174.334000000003</v>
      </c>
      <c r="J157" s="869"/>
      <c r="XEH157" s="406"/>
    </row>
    <row r="158" spans="1:10 16362:16362" s="405" customFormat="1" ht="18" customHeight="1">
      <c r="A158" s="411"/>
      <c r="B158" s="411"/>
      <c r="C158" s="870" t="s">
        <v>1428</v>
      </c>
      <c r="D158" s="870"/>
      <c r="E158" s="870"/>
      <c r="F158" s="409"/>
      <c r="G158" s="409"/>
      <c r="H158" s="409"/>
      <c r="I158" s="409">
        <f>I151+I157</f>
        <v>680917.674</v>
      </c>
      <c r="J158" s="869"/>
      <c r="XEH158" s="406"/>
    </row>
    <row r="159" spans="1:10 16362:16362" ht="18" customHeight="1">
      <c r="A159" s="422"/>
      <c r="B159" s="422"/>
      <c r="C159" s="877" t="s">
        <v>1540</v>
      </c>
      <c r="D159" s="877"/>
      <c r="E159" s="877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78" t="s">
        <v>1585</v>
      </c>
      <c r="B1" s="878"/>
      <c r="C1" s="878"/>
      <c r="D1" s="878"/>
      <c r="E1" s="878"/>
      <c r="F1" s="878"/>
      <c r="G1" s="878"/>
      <c r="H1" s="878"/>
      <c r="I1" s="878"/>
      <c r="J1" s="906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69" t="s">
        <v>1365</v>
      </c>
      <c r="E2" s="869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68">
        <v>1</v>
      </c>
      <c r="B3" s="868" t="s">
        <v>1542</v>
      </c>
      <c r="C3" s="868" t="s">
        <v>1543</v>
      </c>
      <c r="D3" s="868" t="s">
        <v>1544</v>
      </c>
      <c r="E3" s="868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69">
        <f>ROUND(I16*0.8,0)</f>
        <v>201511</v>
      </c>
    </row>
    <row r="4" spans="1:16361" ht="18" customHeight="1">
      <c r="A4" s="868"/>
      <c r="B4" s="868"/>
      <c r="C4" s="868"/>
      <c r="D4" s="868" t="s">
        <v>1545</v>
      </c>
      <c r="E4" s="868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910"/>
    </row>
    <row r="5" spans="1:16361" ht="18" customHeight="1">
      <c r="A5" s="868"/>
      <c r="B5" s="868"/>
      <c r="C5" s="868"/>
      <c r="D5" s="868" t="s">
        <v>1546</v>
      </c>
      <c r="E5" s="868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910"/>
    </row>
    <row r="6" spans="1:16361" ht="18" customHeight="1">
      <c r="A6" s="868"/>
      <c r="B6" s="868"/>
      <c r="C6" s="868"/>
      <c r="D6" s="868" t="s">
        <v>1547</v>
      </c>
      <c r="E6" s="868"/>
      <c r="F6" s="436" t="s">
        <v>1376</v>
      </c>
      <c r="G6" s="412">
        <v>1</v>
      </c>
      <c r="H6" s="413">
        <f>I6/G6</f>
        <v>2815</v>
      </c>
      <c r="I6" s="437">
        <v>2815</v>
      </c>
      <c r="J6" s="910"/>
    </row>
    <row r="7" spans="1:16361" ht="18" customHeight="1">
      <c r="A7" s="868"/>
      <c r="B7" s="868"/>
      <c r="C7" s="868"/>
      <c r="D7" s="868" t="s">
        <v>1548</v>
      </c>
      <c r="E7" s="868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910"/>
    </row>
    <row r="8" spans="1:16361" ht="18" customHeight="1">
      <c r="A8" s="868"/>
      <c r="B8" s="868"/>
      <c r="C8" s="868"/>
      <c r="D8" s="868" t="s">
        <v>1549</v>
      </c>
      <c r="E8" s="868"/>
      <c r="F8" s="436" t="s">
        <v>1388</v>
      </c>
      <c r="G8" s="412">
        <v>0</v>
      </c>
      <c r="H8" s="412">
        <v>0</v>
      </c>
      <c r="I8" s="437">
        <v>0</v>
      </c>
      <c r="J8" s="910"/>
    </row>
    <row r="9" spans="1:16361" ht="18" customHeight="1">
      <c r="A9" s="868"/>
      <c r="B9" s="868"/>
      <c r="C9" s="868"/>
      <c r="D9" s="868" t="s">
        <v>1550</v>
      </c>
      <c r="E9" s="868"/>
      <c r="F9" s="436" t="s">
        <v>1101</v>
      </c>
      <c r="G9" s="412">
        <v>6</v>
      </c>
      <c r="H9" s="413">
        <f>I9/G9</f>
        <v>1600</v>
      </c>
      <c r="I9" s="437">
        <v>9600</v>
      </c>
      <c r="J9" s="910"/>
    </row>
    <row r="10" spans="1:16361" s="416" customFormat="1" ht="18" customHeight="1">
      <c r="A10" s="870"/>
      <c r="B10" s="870"/>
      <c r="C10" s="870" t="s">
        <v>1424</v>
      </c>
      <c r="D10" s="870"/>
      <c r="E10" s="870"/>
      <c r="F10" s="438"/>
      <c r="G10" s="409"/>
      <c r="H10" s="409"/>
      <c r="I10" s="439">
        <f>SUM(I3:I9)</f>
        <v>224081</v>
      </c>
      <c r="J10" s="910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68"/>
      <c r="B11" s="868"/>
      <c r="C11" s="876" t="s">
        <v>1408</v>
      </c>
      <c r="D11" s="876"/>
      <c r="E11" s="876"/>
      <c r="F11" s="887" t="s">
        <v>1376</v>
      </c>
      <c r="G11" s="890">
        <v>1</v>
      </c>
      <c r="H11" s="883">
        <f>I10*0.1</f>
        <v>22408.100000000002</v>
      </c>
      <c r="I11" s="884">
        <f>G11*H11</f>
        <v>22408.100000000002</v>
      </c>
      <c r="J11" s="910"/>
    </row>
    <row r="12" spans="1:16361" ht="18" customHeight="1">
      <c r="A12" s="868"/>
      <c r="B12" s="868"/>
      <c r="C12" s="876" t="s">
        <v>1409</v>
      </c>
      <c r="D12" s="876"/>
      <c r="E12" s="876"/>
      <c r="F12" s="888"/>
      <c r="G12" s="891"/>
      <c r="H12" s="883"/>
      <c r="I12" s="885"/>
      <c r="J12" s="910"/>
    </row>
    <row r="13" spans="1:16361" ht="18" customHeight="1">
      <c r="A13" s="868"/>
      <c r="B13" s="868"/>
      <c r="C13" s="876" t="s">
        <v>1410</v>
      </c>
      <c r="D13" s="876"/>
      <c r="E13" s="876"/>
      <c r="F13" s="889"/>
      <c r="G13" s="892"/>
      <c r="H13" s="883"/>
      <c r="I13" s="886"/>
      <c r="J13" s="910"/>
    </row>
    <row r="14" spans="1:16361" ht="18" customHeight="1">
      <c r="A14" s="868"/>
      <c r="B14" s="868"/>
      <c r="C14" s="876" t="s">
        <v>1415</v>
      </c>
      <c r="D14" s="876"/>
      <c r="E14" s="876"/>
      <c r="F14" s="436" t="s">
        <v>1376</v>
      </c>
      <c r="G14" s="413">
        <v>1</v>
      </c>
      <c r="H14" s="430">
        <v>5400</v>
      </c>
      <c r="I14" s="440">
        <f>H14</f>
        <v>5400</v>
      </c>
      <c r="J14" s="910"/>
    </row>
    <row r="15" spans="1:16361" ht="18" customHeight="1">
      <c r="A15" s="868"/>
      <c r="B15" s="868"/>
      <c r="C15" s="870" t="s">
        <v>1427</v>
      </c>
      <c r="D15" s="870"/>
      <c r="E15" s="870"/>
      <c r="F15" s="436"/>
      <c r="G15" s="409"/>
      <c r="H15" s="409"/>
      <c r="I15" s="439">
        <f>SUM(I11:I14)</f>
        <v>27808.100000000002</v>
      </c>
      <c r="J15" s="910"/>
    </row>
    <row r="16" spans="1:16361" ht="18" customHeight="1">
      <c r="A16" s="411"/>
      <c r="B16" s="411"/>
      <c r="C16" s="870" t="s">
        <v>1428</v>
      </c>
      <c r="D16" s="870"/>
      <c r="E16" s="870"/>
      <c r="F16" s="436"/>
      <c r="G16" s="409"/>
      <c r="H16" s="409"/>
      <c r="I16" s="439">
        <f>I10+I15</f>
        <v>251889.1</v>
      </c>
      <c r="J16" s="910"/>
    </row>
    <row r="17" spans="1:16362" ht="18" customHeight="1">
      <c r="A17" s="868">
        <v>2</v>
      </c>
      <c r="B17" s="868" t="s">
        <v>1551</v>
      </c>
      <c r="C17" s="411" t="s">
        <v>1543</v>
      </c>
      <c r="D17" s="868" t="s">
        <v>1552</v>
      </c>
      <c r="E17" s="868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69">
        <f>ROUND(I25*0.8,0)</f>
        <v>380160</v>
      </c>
    </row>
    <row r="18" spans="1:16362" ht="18" customHeight="1">
      <c r="A18" s="868"/>
      <c r="B18" s="868"/>
      <c r="C18" s="411" t="s">
        <v>1553</v>
      </c>
      <c r="D18" s="868" t="s">
        <v>1554</v>
      </c>
      <c r="E18" s="868"/>
      <c r="F18" s="436" t="s">
        <v>1376</v>
      </c>
      <c r="G18" s="412">
        <v>0</v>
      </c>
      <c r="H18" s="412">
        <v>0</v>
      </c>
      <c r="I18" s="437">
        <v>0</v>
      </c>
      <c r="J18" s="910"/>
    </row>
    <row r="19" spans="1:16362" ht="18" customHeight="1">
      <c r="A19" s="868"/>
      <c r="B19" s="868"/>
      <c r="C19" s="870" t="s">
        <v>1424</v>
      </c>
      <c r="D19" s="870"/>
      <c r="E19" s="870"/>
      <c r="F19" s="436"/>
      <c r="G19" s="412"/>
      <c r="H19" s="412"/>
      <c r="I19" s="439">
        <f>I17+I18</f>
        <v>432000</v>
      </c>
      <c r="J19" s="910"/>
    </row>
    <row r="20" spans="1:16362" ht="18" customHeight="1">
      <c r="A20" s="868"/>
      <c r="B20" s="868"/>
      <c r="C20" s="876" t="s">
        <v>1408</v>
      </c>
      <c r="D20" s="876"/>
      <c r="E20" s="876"/>
      <c r="F20" s="887" t="s">
        <v>1376</v>
      </c>
      <c r="G20" s="890">
        <v>1</v>
      </c>
      <c r="H20" s="893">
        <f>I19*0.1</f>
        <v>43200</v>
      </c>
      <c r="I20" s="896">
        <f>G20*H20</f>
        <v>43200</v>
      </c>
      <c r="J20" s="910"/>
    </row>
    <row r="21" spans="1:16362" ht="18" customHeight="1">
      <c r="A21" s="868"/>
      <c r="B21" s="868"/>
      <c r="C21" s="876" t="s">
        <v>1409</v>
      </c>
      <c r="D21" s="876"/>
      <c r="E21" s="876"/>
      <c r="F21" s="888"/>
      <c r="G21" s="891"/>
      <c r="H21" s="894"/>
      <c r="I21" s="897"/>
      <c r="J21" s="910"/>
    </row>
    <row r="22" spans="1:16362" ht="18" customHeight="1">
      <c r="A22" s="868"/>
      <c r="B22" s="868"/>
      <c r="C22" s="876" t="s">
        <v>1410</v>
      </c>
      <c r="D22" s="876"/>
      <c r="E22" s="876"/>
      <c r="F22" s="888"/>
      <c r="G22" s="891"/>
      <c r="H22" s="894"/>
      <c r="I22" s="897"/>
      <c r="J22" s="910"/>
    </row>
    <row r="23" spans="1:16362" s="420" customFormat="1" ht="18" customHeight="1">
      <c r="A23" s="868"/>
      <c r="B23" s="868"/>
      <c r="C23" s="899" t="s">
        <v>1412</v>
      </c>
      <c r="D23" s="900"/>
      <c r="E23" s="901"/>
      <c r="F23" s="889"/>
      <c r="G23" s="892"/>
      <c r="H23" s="895"/>
      <c r="I23" s="898"/>
      <c r="J23" s="910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68"/>
      <c r="B24" s="868"/>
      <c r="C24" s="870" t="s">
        <v>1427</v>
      </c>
      <c r="D24" s="870"/>
      <c r="E24" s="870"/>
      <c r="F24" s="436"/>
      <c r="G24" s="409"/>
      <c r="H24" s="409"/>
      <c r="I24" s="439">
        <f>SUM(I20:I23)</f>
        <v>43200</v>
      </c>
      <c r="J24" s="910"/>
    </row>
    <row r="25" spans="1:16362" ht="18" customHeight="1">
      <c r="A25" s="411"/>
      <c r="B25" s="411"/>
      <c r="C25" s="870" t="s">
        <v>1428</v>
      </c>
      <c r="D25" s="870"/>
      <c r="E25" s="870"/>
      <c r="F25" s="436"/>
      <c r="G25" s="409"/>
      <c r="H25" s="409"/>
      <c r="I25" s="439">
        <f>I19+I24</f>
        <v>475200</v>
      </c>
      <c r="J25" s="910"/>
    </row>
    <row r="26" spans="1:16362" ht="18" customHeight="1">
      <c r="A26" s="868">
        <v>3</v>
      </c>
      <c r="B26" s="868" t="s">
        <v>1555</v>
      </c>
      <c r="C26" s="868" t="s">
        <v>1430</v>
      </c>
      <c r="D26" s="868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69">
        <f>ROUND(I43*0.8,0)</f>
        <v>379704</v>
      </c>
    </row>
    <row r="27" spans="1:16362" ht="18" customHeight="1">
      <c r="A27" s="868"/>
      <c r="B27" s="868"/>
      <c r="C27" s="868"/>
      <c r="D27" s="868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910"/>
    </row>
    <row r="28" spans="1:16362" ht="18" customHeight="1">
      <c r="A28" s="868"/>
      <c r="B28" s="868"/>
      <c r="C28" s="868"/>
      <c r="D28" s="868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910"/>
    </row>
    <row r="29" spans="1:16362" ht="18" customHeight="1">
      <c r="A29" s="868"/>
      <c r="B29" s="868"/>
      <c r="C29" s="868"/>
      <c r="D29" s="868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910"/>
    </row>
    <row r="30" spans="1:16362" ht="18" customHeight="1">
      <c r="A30" s="868"/>
      <c r="B30" s="868"/>
      <c r="C30" s="868"/>
      <c r="D30" s="868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910"/>
    </row>
    <row r="31" spans="1:16362" ht="18" customHeight="1">
      <c r="A31" s="868"/>
      <c r="B31" s="868"/>
      <c r="C31" s="868"/>
      <c r="D31" s="868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910"/>
    </row>
    <row r="32" spans="1:16362" ht="18" customHeight="1">
      <c r="A32" s="868"/>
      <c r="B32" s="868"/>
      <c r="C32" s="868"/>
      <c r="D32" s="868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910"/>
    </row>
    <row r="33" spans="1:16361" ht="18" customHeight="1">
      <c r="A33" s="868"/>
      <c r="B33" s="868"/>
      <c r="C33" s="868"/>
      <c r="D33" s="868" t="s">
        <v>1559</v>
      </c>
      <c r="E33" s="868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910"/>
    </row>
    <row r="34" spans="1:16361" ht="18" customHeight="1">
      <c r="A34" s="868"/>
      <c r="B34" s="868"/>
      <c r="C34" s="868"/>
      <c r="D34" s="868" t="s">
        <v>1560</v>
      </c>
      <c r="E34" s="868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910"/>
    </row>
    <row r="35" spans="1:16361" ht="18" customHeight="1">
      <c r="A35" s="868"/>
      <c r="B35" s="868"/>
      <c r="C35" s="868"/>
      <c r="D35" s="868" t="s">
        <v>1561</v>
      </c>
      <c r="E35" s="868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910"/>
    </row>
    <row r="36" spans="1:16361" ht="18" customHeight="1">
      <c r="A36" s="868"/>
      <c r="B36" s="868"/>
      <c r="C36" s="868"/>
      <c r="D36" s="868" t="s">
        <v>1562</v>
      </c>
      <c r="E36" s="868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910"/>
    </row>
    <row r="37" spans="1:16361" ht="18" customHeight="1">
      <c r="A37" s="868"/>
      <c r="B37" s="868"/>
      <c r="C37" s="868"/>
      <c r="D37" s="868" t="s">
        <v>1563</v>
      </c>
      <c r="E37" s="868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910"/>
    </row>
    <row r="38" spans="1:16361" s="416" customFormat="1" ht="18" customHeight="1">
      <c r="A38" s="870"/>
      <c r="B38" s="870"/>
      <c r="C38" s="870" t="s">
        <v>1424</v>
      </c>
      <c r="D38" s="870"/>
      <c r="E38" s="870"/>
      <c r="F38" s="414"/>
      <c r="G38" s="409"/>
      <c r="H38" s="409"/>
      <c r="I38" s="439">
        <f>SUM(I26:I37)</f>
        <v>431481.98</v>
      </c>
      <c r="J38" s="910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68"/>
      <c r="B39" s="868"/>
      <c r="C39" s="876" t="s">
        <v>1408</v>
      </c>
      <c r="D39" s="876"/>
      <c r="E39" s="876"/>
      <c r="F39" s="903" t="s">
        <v>1376</v>
      </c>
      <c r="G39" s="890">
        <v>1</v>
      </c>
      <c r="H39" s="893">
        <f>I38*0.1</f>
        <v>43148.198000000004</v>
      </c>
      <c r="I39" s="896">
        <f>G39*H39</f>
        <v>43148.198000000004</v>
      </c>
      <c r="J39" s="910"/>
    </row>
    <row r="40" spans="1:16361" ht="18" customHeight="1">
      <c r="A40" s="868"/>
      <c r="B40" s="868"/>
      <c r="C40" s="876" t="s">
        <v>1409</v>
      </c>
      <c r="D40" s="876"/>
      <c r="E40" s="876"/>
      <c r="F40" s="904"/>
      <c r="G40" s="891"/>
      <c r="H40" s="894"/>
      <c r="I40" s="897"/>
      <c r="J40" s="910"/>
    </row>
    <row r="41" spans="1:16361" ht="18" customHeight="1">
      <c r="A41" s="868"/>
      <c r="B41" s="868"/>
      <c r="C41" s="876" t="s">
        <v>1410</v>
      </c>
      <c r="D41" s="876"/>
      <c r="E41" s="876"/>
      <c r="F41" s="905"/>
      <c r="G41" s="892"/>
      <c r="H41" s="895"/>
      <c r="I41" s="898"/>
      <c r="J41" s="910"/>
    </row>
    <row r="42" spans="1:16361" ht="18" customHeight="1">
      <c r="A42" s="868"/>
      <c r="B42" s="868"/>
      <c r="C42" s="870" t="s">
        <v>1427</v>
      </c>
      <c r="D42" s="870"/>
      <c r="E42" s="870"/>
      <c r="F42" s="411"/>
      <c r="G42" s="409"/>
      <c r="H42" s="409"/>
      <c r="I42" s="439">
        <f>SUM(I39:I41)</f>
        <v>43148.198000000004</v>
      </c>
      <c r="J42" s="910"/>
    </row>
    <row r="43" spans="1:16361" ht="18" customHeight="1">
      <c r="A43" s="411"/>
      <c r="B43" s="411"/>
      <c r="C43" s="870" t="s">
        <v>1428</v>
      </c>
      <c r="D43" s="870"/>
      <c r="E43" s="870"/>
      <c r="F43" s="436"/>
      <c r="G43" s="409"/>
      <c r="H43" s="409"/>
      <c r="I43" s="439">
        <f>I38+I42</f>
        <v>474630.17799999996</v>
      </c>
      <c r="J43" s="910"/>
    </row>
    <row r="44" spans="1:16361" ht="18" customHeight="1">
      <c r="A44" s="868">
        <v>4</v>
      </c>
      <c r="B44" s="902" t="s">
        <v>1564</v>
      </c>
      <c r="C44" s="868" t="s">
        <v>1565</v>
      </c>
      <c r="D44" s="868" t="s">
        <v>1566</v>
      </c>
      <c r="E44" s="868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69">
        <f>ROUND(I54*0.8,0)</f>
        <v>83561</v>
      </c>
    </row>
    <row r="45" spans="1:16361" ht="18" customHeight="1">
      <c r="A45" s="868"/>
      <c r="B45" s="902"/>
      <c r="C45" s="868"/>
      <c r="D45" s="868" t="s">
        <v>1567</v>
      </c>
      <c r="E45" s="868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910"/>
    </row>
    <row r="46" spans="1:16361" ht="18" customHeight="1">
      <c r="A46" s="868"/>
      <c r="B46" s="902"/>
      <c r="C46" s="868"/>
      <c r="D46" s="868" t="s">
        <v>1568</v>
      </c>
      <c r="E46" s="868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910"/>
    </row>
    <row r="47" spans="1:16361" ht="18" customHeight="1">
      <c r="A47" s="868"/>
      <c r="B47" s="902"/>
      <c r="C47" s="868"/>
      <c r="D47" s="868" t="s">
        <v>1569</v>
      </c>
      <c r="E47" s="868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910"/>
    </row>
    <row r="48" spans="1:16361" ht="18" customHeight="1">
      <c r="A48" s="868"/>
      <c r="B48" s="902"/>
      <c r="C48" s="868"/>
      <c r="D48" s="868" t="s">
        <v>1570</v>
      </c>
      <c r="E48" s="868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910"/>
    </row>
    <row r="49" spans="1:16361" s="416" customFormat="1" ht="18" customHeight="1">
      <c r="A49" s="870"/>
      <c r="B49" s="877"/>
      <c r="C49" s="870" t="s">
        <v>1424</v>
      </c>
      <c r="D49" s="870"/>
      <c r="E49" s="870"/>
      <c r="F49" s="438"/>
      <c r="G49" s="409"/>
      <c r="H49" s="409"/>
      <c r="I49" s="439">
        <f>SUM(I44:I48)</f>
        <v>94956.1</v>
      </c>
      <c r="J49" s="910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68"/>
      <c r="B50" s="902"/>
      <c r="C50" s="876" t="s">
        <v>1408</v>
      </c>
      <c r="D50" s="876"/>
      <c r="E50" s="876"/>
      <c r="F50" s="887" t="s">
        <v>1376</v>
      </c>
      <c r="G50" s="890">
        <v>1</v>
      </c>
      <c r="H50" s="893">
        <f>I49*0.1</f>
        <v>9495.61</v>
      </c>
      <c r="I50" s="896">
        <f>H50*G50</f>
        <v>9495.61</v>
      </c>
      <c r="J50" s="910"/>
    </row>
    <row r="51" spans="1:16361" ht="18" customHeight="1">
      <c r="A51" s="868"/>
      <c r="B51" s="902"/>
      <c r="C51" s="876" t="s">
        <v>1409</v>
      </c>
      <c r="D51" s="876"/>
      <c r="E51" s="876"/>
      <c r="F51" s="888"/>
      <c r="G51" s="891"/>
      <c r="H51" s="894"/>
      <c r="I51" s="897"/>
      <c r="J51" s="910"/>
    </row>
    <row r="52" spans="1:16361" ht="18" customHeight="1">
      <c r="A52" s="868"/>
      <c r="B52" s="902"/>
      <c r="C52" s="876" t="s">
        <v>1410</v>
      </c>
      <c r="D52" s="876"/>
      <c r="E52" s="876"/>
      <c r="F52" s="889"/>
      <c r="G52" s="892"/>
      <c r="H52" s="895"/>
      <c r="I52" s="898"/>
      <c r="J52" s="910"/>
    </row>
    <row r="53" spans="1:16361" ht="18" customHeight="1">
      <c r="A53" s="868"/>
      <c r="B53" s="902"/>
      <c r="C53" s="870" t="s">
        <v>1427</v>
      </c>
      <c r="D53" s="870"/>
      <c r="E53" s="870"/>
      <c r="F53" s="436"/>
      <c r="G53" s="409"/>
      <c r="H53" s="409"/>
      <c r="I53" s="439">
        <f>SUM(I50:I52)</f>
        <v>9495.61</v>
      </c>
      <c r="J53" s="910"/>
    </row>
    <row r="54" spans="1:16361" ht="18" customHeight="1">
      <c r="A54" s="411"/>
      <c r="B54" s="422"/>
      <c r="C54" s="870" t="s">
        <v>1428</v>
      </c>
      <c r="D54" s="870"/>
      <c r="E54" s="870"/>
      <c r="F54" s="436"/>
      <c r="G54" s="409"/>
      <c r="H54" s="409"/>
      <c r="I54" s="439">
        <f>I49+I53</f>
        <v>104451.71</v>
      </c>
      <c r="J54" s="910"/>
    </row>
    <row r="55" spans="1:16361" ht="18" customHeight="1">
      <c r="A55" s="868">
        <v>5</v>
      </c>
      <c r="B55" s="868" t="s">
        <v>1571</v>
      </c>
      <c r="C55" s="868" t="s">
        <v>1430</v>
      </c>
      <c r="D55" s="868" t="s">
        <v>1572</v>
      </c>
      <c r="E55" s="868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69">
        <f>ROUND(I65*0.8,0)</f>
        <v>312760</v>
      </c>
    </row>
    <row r="56" spans="1:16361" ht="18" customHeight="1">
      <c r="A56" s="868"/>
      <c r="B56" s="868"/>
      <c r="C56" s="868"/>
      <c r="D56" s="868" t="s">
        <v>1573</v>
      </c>
      <c r="E56" s="868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910"/>
    </row>
    <row r="57" spans="1:16361" ht="18" customHeight="1">
      <c r="A57" s="868"/>
      <c r="B57" s="868"/>
      <c r="C57" s="868"/>
      <c r="D57" s="868" t="s">
        <v>1574</v>
      </c>
      <c r="E57" s="868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910"/>
    </row>
    <row r="58" spans="1:16361" ht="18" customHeight="1">
      <c r="A58" s="868"/>
      <c r="B58" s="868"/>
      <c r="C58" s="868"/>
      <c r="D58" s="868" t="s">
        <v>1575</v>
      </c>
      <c r="E58" s="868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910"/>
    </row>
    <row r="59" spans="1:16361" s="416" customFormat="1" ht="18" customHeight="1">
      <c r="A59" s="870"/>
      <c r="B59" s="870"/>
      <c r="C59" s="870" t="s">
        <v>1424</v>
      </c>
      <c r="D59" s="870"/>
      <c r="E59" s="870"/>
      <c r="F59" s="438"/>
      <c r="G59" s="409"/>
      <c r="H59" s="409"/>
      <c r="I59" s="439">
        <f>SUM(I55:I58)</f>
        <v>350500</v>
      </c>
      <c r="J59" s="910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68"/>
      <c r="B60" s="868"/>
      <c r="C60" s="876" t="s">
        <v>1408</v>
      </c>
      <c r="D60" s="876"/>
      <c r="E60" s="876"/>
      <c r="F60" s="887" t="s">
        <v>1376</v>
      </c>
      <c r="G60" s="890">
        <v>1</v>
      </c>
      <c r="H60" s="893">
        <f>I59*0.1</f>
        <v>35050</v>
      </c>
      <c r="I60" s="896">
        <f>G60*H60</f>
        <v>35050</v>
      </c>
      <c r="J60" s="910"/>
    </row>
    <row r="61" spans="1:16361" ht="18" customHeight="1">
      <c r="A61" s="868"/>
      <c r="B61" s="868"/>
      <c r="C61" s="876" t="s">
        <v>1409</v>
      </c>
      <c r="D61" s="876"/>
      <c r="E61" s="876"/>
      <c r="F61" s="888"/>
      <c r="G61" s="891"/>
      <c r="H61" s="894"/>
      <c r="I61" s="897"/>
      <c r="J61" s="910"/>
    </row>
    <row r="62" spans="1:16361" ht="18" customHeight="1">
      <c r="A62" s="868"/>
      <c r="B62" s="868"/>
      <c r="C62" s="876" t="s">
        <v>1410</v>
      </c>
      <c r="D62" s="876"/>
      <c r="E62" s="876"/>
      <c r="F62" s="889"/>
      <c r="G62" s="892"/>
      <c r="H62" s="895"/>
      <c r="I62" s="898"/>
      <c r="J62" s="910"/>
    </row>
    <row r="63" spans="1:16361" ht="18" customHeight="1">
      <c r="A63" s="868"/>
      <c r="B63" s="868"/>
      <c r="C63" s="876" t="s">
        <v>1415</v>
      </c>
      <c r="D63" s="876"/>
      <c r="E63" s="876"/>
      <c r="F63" s="436" t="s">
        <v>1376</v>
      </c>
      <c r="G63" s="413">
        <v>1</v>
      </c>
      <c r="H63" s="413">
        <v>5400</v>
      </c>
      <c r="I63" s="442">
        <f>H63</f>
        <v>5400</v>
      </c>
      <c r="J63" s="910"/>
    </row>
    <row r="64" spans="1:16361" ht="18" customHeight="1">
      <c r="A64" s="868"/>
      <c r="B64" s="868"/>
      <c r="C64" s="870" t="s">
        <v>1427</v>
      </c>
      <c r="D64" s="870"/>
      <c r="E64" s="870"/>
      <c r="F64" s="436"/>
      <c r="G64" s="409"/>
      <c r="H64" s="409"/>
      <c r="I64" s="439">
        <f>SUM(I60:I63)</f>
        <v>40450</v>
      </c>
      <c r="J64" s="910"/>
    </row>
    <row r="65" spans="1:16362" ht="18" customHeight="1">
      <c r="A65" s="411"/>
      <c r="B65" s="411"/>
      <c r="C65" s="870" t="s">
        <v>1428</v>
      </c>
      <c r="D65" s="870"/>
      <c r="E65" s="870"/>
      <c r="F65" s="436"/>
      <c r="G65" s="409"/>
      <c r="H65" s="409"/>
      <c r="I65" s="439">
        <f>I59+I64</f>
        <v>390950</v>
      </c>
      <c r="J65" s="910"/>
    </row>
    <row r="66" spans="1:16362" ht="18" customHeight="1">
      <c r="A66" s="868">
        <v>6</v>
      </c>
      <c r="B66" s="868" t="s">
        <v>1576</v>
      </c>
      <c r="C66" s="868" t="s">
        <v>1430</v>
      </c>
      <c r="D66" s="868" t="s">
        <v>1577</v>
      </c>
      <c r="E66" s="868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69">
        <f>ROUND(I76*0.8,0)</f>
        <v>773417</v>
      </c>
    </row>
    <row r="67" spans="1:16362" ht="18" customHeight="1">
      <c r="A67" s="868"/>
      <c r="B67" s="868"/>
      <c r="C67" s="868"/>
      <c r="D67" s="868" t="s">
        <v>1578</v>
      </c>
      <c r="E67" s="868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910"/>
    </row>
    <row r="68" spans="1:16362" ht="18" customHeight="1">
      <c r="A68" s="868"/>
      <c r="B68" s="868"/>
      <c r="C68" s="411" t="s">
        <v>1421</v>
      </c>
      <c r="D68" s="868" t="s">
        <v>1579</v>
      </c>
      <c r="E68" s="868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910"/>
    </row>
    <row r="69" spans="1:16362" s="416" customFormat="1" ht="18" customHeight="1">
      <c r="A69" s="870"/>
      <c r="B69" s="870"/>
      <c r="C69" s="870" t="s">
        <v>1424</v>
      </c>
      <c r="D69" s="870"/>
      <c r="E69" s="870"/>
      <c r="F69" s="438"/>
      <c r="G69" s="409"/>
      <c r="H69" s="409"/>
      <c r="I69" s="439">
        <f>SUM(I66:I68)</f>
        <v>851610</v>
      </c>
      <c r="J69" s="910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68"/>
      <c r="B70" s="868"/>
      <c r="C70" s="876" t="s">
        <v>1408</v>
      </c>
      <c r="D70" s="876"/>
      <c r="E70" s="876"/>
      <c r="F70" s="887" t="s">
        <v>1376</v>
      </c>
      <c r="G70" s="890">
        <v>1</v>
      </c>
      <c r="H70" s="893">
        <f>I69*0.1</f>
        <v>85161</v>
      </c>
      <c r="I70" s="896">
        <f>G70*H70</f>
        <v>85161</v>
      </c>
      <c r="J70" s="910"/>
    </row>
    <row r="71" spans="1:16362" ht="18" customHeight="1">
      <c r="A71" s="868"/>
      <c r="B71" s="868"/>
      <c r="C71" s="876" t="s">
        <v>1409</v>
      </c>
      <c r="D71" s="876"/>
      <c r="E71" s="876"/>
      <c r="F71" s="888"/>
      <c r="G71" s="891"/>
      <c r="H71" s="894"/>
      <c r="I71" s="897"/>
      <c r="J71" s="910"/>
    </row>
    <row r="72" spans="1:16362" ht="18" customHeight="1">
      <c r="A72" s="868"/>
      <c r="B72" s="868"/>
      <c r="C72" s="876" t="s">
        <v>1410</v>
      </c>
      <c r="D72" s="876"/>
      <c r="E72" s="876"/>
      <c r="F72" s="888"/>
      <c r="G72" s="891"/>
      <c r="H72" s="894"/>
      <c r="I72" s="897"/>
      <c r="J72" s="910"/>
    </row>
    <row r="73" spans="1:16362" s="420" customFormat="1" ht="18" customHeight="1">
      <c r="A73" s="868"/>
      <c r="B73" s="868"/>
      <c r="C73" s="899" t="s">
        <v>1412</v>
      </c>
      <c r="D73" s="900"/>
      <c r="E73" s="901"/>
      <c r="F73" s="889"/>
      <c r="G73" s="892"/>
      <c r="H73" s="895"/>
      <c r="I73" s="898"/>
      <c r="J73" s="910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68"/>
      <c r="B74" s="868"/>
      <c r="C74" s="876" t="s">
        <v>1426</v>
      </c>
      <c r="D74" s="876"/>
      <c r="E74" s="876"/>
      <c r="F74" s="436" t="s">
        <v>1376</v>
      </c>
      <c r="G74" s="413">
        <v>1</v>
      </c>
      <c r="H74" s="430">
        <f>I74</f>
        <v>30000</v>
      </c>
      <c r="I74" s="442">
        <v>30000</v>
      </c>
      <c r="J74" s="910"/>
    </row>
    <row r="75" spans="1:16362" ht="18" customHeight="1">
      <c r="A75" s="868"/>
      <c r="B75" s="868"/>
      <c r="C75" s="870" t="s">
        <v>1427</v>
      </c>
      <c r="D75" s="870"/>
      <c r="E75" s="870"/>
      <c r="F75" s="436"/>
      <c r="G75" s="409"/>
      <c r="H75" s="409"/>
      <c r="I75" s="439">
        <f>SUM(I70:I74)</f>
        <v>115161</v>
      </c>
      <c r="J75" s="910"/>
    </row>
    <row r="76" spans="1:16362" ht="18" customHeight="1">
      <c r="A76" s="411"/>
      <c r="B76" s="411"/>
      <c r="C76" s="870" t="s">
        <v>1428</v>
      </c>
      <c r="D76" s="870"/>
      <c r="E76" s="870"/>
      <c r="F76" s="436"/>
      <c r="G76" s="409"/>
      <c r="H76" s="409"/>
      <c r="I76" s="439">
        <f>I69+I75</f>
        <v>966771</v>
      </c>
      <c r="J76" s="910"/>
    </row>
    <row r="77" spans="1:16362" ht="18" customHeight="1">
      <c r="A77" s="868">
        <v>7</v>
      </c>
      <c r="B77" s="868" t="s">
        <v>1580</v>
      </c>
      <c r="C77" s="868" t="s">
        <v>1430</v>
      </c>
      <c r="D77" s="868" t="s">
        <v>1581</v>
      </c>
      <c r="E77" s="868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69">
        <f>ROUND(I88*0.8,0)</f>
        <v>729264</v>
      </c>
    </row>
    <row r="78" spans="1:16362" ht="18" customHeight="1">
      <c r="A78" s="868"/>
      <c r="B78" s="868"/>
      <c r="C78" s="868"/>
      <c r="D78" s="868" t="s">
        <v>1582</v>
      </c>
      <c r="E78" s="868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910"/>
    </row>
    <row r="79" spans="1:16362" ht="18" customHeight="1">
      <c r="A79" s="868"/>
      <c r="B79" s="868"/>
      <c r="C79" s="868"/>
      <c r="D79" s="868" t="s">
        <v>1583</v>
      </c>
      <c r="E79" s="868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910"/>
    </row>
    <row r="80" spans="1:16362" ht="18" customHeight="1">
      <c r="A80" s="868"/>
      <c r="B80" s="868"/>
      <c r="C80" s="903" t="s">
        <v>1421</v>
      </c>
      <c r="D80" s="868" t="s">
        <v>1584</v>
      </c>
      <c r="E80" s="868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910"/>
    </row>
    <row r="81" spans="1:16361" ht="18" customHeight="1">
      <c r="A81" s="868"/>
      <c r="B81" s="868"/>
      <c r="C81" s="905"/>
      <c r="D81" s="911" t="s">
        <v>1423</v>
      </c>
      <c r="E81" s="912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910"/>
    </row>
    <row r="82" spans="1:16361" s="416" customFormat="1" ht="18" customHeight="1">
      <c r="A82" s="870"/>
      <c r="B82" s="870"/>
      <c r="C82" s="870" t="s">
        <v>1424</v>
      </c>
      <c r="D82" s="870"/>
      <c r="E82" s="870"/>
      <c r="F82" s="438"/>
      <c r="G82" s="409"/>
      <c r="H82" s="409"/>
      <c r="I82" s="439">
        <f>SUM(I77:I81)</f>
        <v>801435.82</v>
      </c>
      <c r="J82" s="910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68"/>
      <c r="B83" s="868"/>
      <c r="C83" s="876" t="s">
        <v>1408</v>
      </c>
      <c r="D83" s="876"/>
      <c r="E83" s="876"/>
      <c r="F83" s="887" t="s">
        <v>1376</v>
      </c>
      <c r="G83" s="890">
        <v>1</v>
      </c>
      <c r="H83" s="893">
        <f>I82*0.1</f>
        <v>80143.581999999995</v>
      </c>
      <c r="I83" s="896">
        <f>G83*H83</f>
        <v>80143.581999999995</v>
      </c>
      <c r="J83" s="910"/>
    </row>
    <row r="84" spans="1:16361" ht="18" customHeight="1">
      <c r="A84" s="868"/>
      <c r="B84" s="868"/>
      <c r="C84" s="876" t="s">
        <v>1409</v>
      </c>
      <c r="D84" s="876"/>
      <c r="E84" s="876"/>
      <c r="F84" s="888"/>
      <c r="G84" s="891"/>
      <c r="H84" s="894"/>
      <c r="I84" s="897"/>
      <c r="J84" s="910"/>
    </row>
    <row r="85" spans="1:16361" ht="18" customHeight="1">
      <c r="A85" s="868"/>
      <c r="B85" s="868"/>
      <c r="C85" s="876" t="s">
        <v>1410</v>
      </c>
      <c r="D85" s="876"/>
      <c r="E85" s="876"/>
      <c r="F85" s="889"/>
      <c r="G85" s="892"/>
      <c r="H85" s="895"/>
      <c r="I85" s="898"/>
      <c r="J85" s="910"/>
    </row>
    <row r="86" spans="1:16361" ht="18" customHeight="1">
      <c r="A86" s="868"/>
      <c r="B86" s="868"/>
      <c r="C86" s="876" t="s">
        <v>1426</v>
      </c>
      <c r="D86" s="876"/>
      <c r="E86" s="876"/>
      <c r="F86" s="436"/>
      <c r="G86" s="413">
        <v>1</v>
      </c>
      <c r="H86" s="430">
        <f>I86</f>
        <v>30000</v>
      </c>
      <c r="I86" s="442">
        <v>30000</v>
      </c>
      <c r="J86" s="910"/>
    </row>
    <row r="87" spans="1:16361" ht="18" customHeight="1">
      <c r="A87" s="868"/>
      <c r="B87" s="868"/>
      <c r="C87" s="870" t="s">
        <v>1427</v>
      </c>
      <c r="D87" s="870"/>
      <c r="E87" s="870"/>
      <c r="F87" s="436"/>
      <c r="G87" s="409"/>
      <c r="H87" s="409"/>
      <c r="I87" s="439">
        <f>SUM(I83:I86)</f>
        <v>110143.58199999999</v>
      </c>
      <c r="J87" s="910"/>
    </row>
    <row r="88" spans="1:16361" ht="18" customHeight="1">
      <c r="A88" s="411"/>
      <c r="B88" s="411"/>
      <c r="C88" s="907" t="s">
        <v>1428</v>
      </c>
      <c r="D88" s="908"/>
      <c r="E88" s="909"/>
      <c r="F88" s="436"/>
      <c r="G88" s="409"/>
      <c r="H88" s="409"/>
      <c r="I88" s="439">
        <f>I82+I87</f>
        <v>911579.402</v>
      </c>
      <c r="J88" s="910"/>
    </row>
    <row r="89" spans="1:16361" ht="18" customHeight="1">
      <c r="A89" s="422"/>
      <c r="B89" s="422"/>
      <c r="C89" s="877" t="s">
        <v>1586</v>
      </c>
      <c r="D89" s="877"/>
      <c r="E89" s="877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34" t="s">
        <v>1587</v>
      </c>
      <c r="B1" s="934"/>
      <c r="C1" s="934"/>
      <c r="D1" s="934"/>
      <c r="E1" s="934"/>
      <c r="F1" s="934"/>
      <c r="G1" s="934"/>
      <c r="H1" s="934"/>
      <c r="I1" s="934"/>
      <c r="J1" s="935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13">
        <v>1</v>
      </c>
      <c r="B3" s="913" t="s">
        <v>1593</v>
      </c>
      <c r="C3" s="914" t="s">
        <v>1369</v>
      </c>
      <c r="D3" s="915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27">
        <f>ROUND(I12*0.8,0)</f>
        <v>639807</v>
      </c>
    </row>
    <row r="4" spans="1:10" ht="17.45" customHeight="1">
      <c r="A4" s="913"/>
      <c r="B4" s="913"/>
      <c r="C4" s="914"/>
      <c r="D4" s="916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36"/>
    </row>
    <row r="5" spans="1:10" ht="17.45" customHeight="1">
      <c r="A5" s="913"/>
      <c r="B5" s="913"/>
      <c r="C5" s="914"/>
      <c r="D5" s="915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36"/>
    </row>
    <row r="6" spans="1:10" ht="17.45" customHeight="1">
      <c r="A6" s="913"/>
      <c r="B6" s="913"/>
      <c r="C6" s="914"/>
      <c r="D6" s="916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36"/>
    </row>
    <row r="7" spans="1:10" ht="17.45" customHeight="1">
      <c r="A7" s="913"/>
      <c r="B7" s="913"/>
      <c r="C7" s="914"/>
      <c r="D7" s="915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36"/>
    </row>
    <row r="8" spans="1:10" ht="17.45" customHeight="1">
      <c r="A8" s="913"/>
      <c r="B8" s="913"/>
      <c r="C8" s="914"/>
      <c r="D8" s="917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36"/>
    </row>
    <row r="9" spans="1:10" ht="17.45" customHeight="1">
      <c r="A9" s="913"/>
      <c r="B9" s="913"/>
      <c r="C9" s="914"/>
      <c r="D9" s="916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36"/>
    </row>
    <row r="10" spans="1:10" s="455" customFormat="1" ht="17.45" customHeight="1">
      <c r="A10" s="913"/>
      <c r="B10" s="913"/>
      <c r="C10" s="918" t="s">
        <v>1424</v>
      </c>
      <c r="D10" s="919"/>
      <c r="E10" s="920"/>
      <c r="F10" s="451"/>
      <c r="G10" s="452"/>
      <c r="H10" s="453"/>
      <c r="I10" s="454">
        <f>SUM(I3:I9)</f>
        <v>685537</v>
      </c>
      <c r="J10" s="936"/>
    </row>
    <row r="11" spans="1:10" s="455" customFormat="1" ht="17.45" customHeight="1">
      <c r="A11" s="913"/>
      <c r="B11" s="913"/>
      <c r="C11" s="921" t="s">
        <v>1603</v>
      </c>
      <c r="D11" s="921"/>
      <c r="E11" s="921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36"/>
    </row>
    <row r="12" spans="1:10" s="455" customFormat="1" ht="17.45" customHeight="1">
      <c r="A12" s="913"/>
      <c r="B12" s="913"/>
      <c r="C12" s="921" t="s">
        <v>1428</v>
      </c>
      <c r="D12" s="921"/>
      <c r="E12" s="921"/>
      <c r="F12" s="451"/>
      <c r="G12" s="452"/>
      <c r="H12" s="453"/>
      <c r="I12" s="457">
        <f>I11+I10</f>
        <v>799759</v>
      </c>
      <c r="J12" s="936"/>
    </row>
    <row r="13" spans="1:10" ht="17.45" customHeight="1">
      <c r="A13" s="914">
        <v>2</v>
      </c>
      <c r="B13" s="913" t="s">
        <v>311</v>
      </c>
      <c r="C13" s="922" t="s">
        <v>1369</v>
      </c>
      <c r="D13" s="913" t="s">
        <v>1421</v>
      </c>
      <c r="E13" s="458" t="s">
        <v>1604</v>
      </c>
      <c r="F13" s="923" t="s">
        <v>1372</v>
      </c>
      <c r="G13" s="925">
        <f>2200*0.8</f>
        <v>1760</v>
      </c>
      <c r="H13" s="925">
        <v>300</v>
      </c>
      <c r="I13" s="923">
        <f t="shared" ref="I13:I17" si="1">H13*G13</f>
        <v>528000</v>
      </c>
      <c r="J13" s="927">
        <f>ROUND(I24*0.8,0)</f>
        <v>1210128</v>
      </c>
    </row>
    <row r="14" spans="1:10" ht="17.45" customHeight="1">
      <c r="A14" s="914"/>
      <c r="B14" s="913"/>
      <c r="C14" s="922"/>
      <c r="D14" s="913"/>
      <c r="E14" s="458" t="s">
        <v>1605</v>
      </c>
      <c r="F14" s="924"/>
      <c r="G14" s="926"/>
      <c r="H14" s="926"/>
      <c r="I14" s="924"/>
      <c r="J14" s="927"/>
    </row>
    <row r="15" spans="1:10" ht="17.45" customHeight="1">
      <c r="A15" s="914"/>
      <c r="B15" s="913"/>
      <c r="C15" s="922"/>
      <c r="D15" s="913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27"/>
    </row>
    <row r="16" spans="1:10" ht="17.45" customHeight="1">
      <c r="A16" s="914"/>
      <c r="B16" s="913"/>
      <c r="C16" s="922"/>
      <c r="D16" s="913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27"/>
    </row>
    <row r="17" spans="1:10" ht="17.45" customHeight="1">
      <c r="A17" s="914"/>
      <c r="B17" s="913"/>
      <c r="C17" s="922"/>
      <c r="D17" s="913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27"/>
    </row>
    <row r="18" spans="1:10" ht="17.45" customHeight="1">
      <c r="A18" s="914"/>
      <c r="B18" s="913"/>
      <c r="C18" s="922"/>
      <c r="D18" s="913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27"/>
    </row>
    <row r="19" spans="1:10" ht="17.45" customHeight="1">
      <c r="A19" s="914"/>
      <c r="B19" s="913"/>
      <c r="C19" s="922"/>
      <c r="D19" s="913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27"/>
    </row>
    <row r="20" spans="1:10" ht="17.45" customHeight="1">
      <c r="A20" s="914"/>
      <c r="B20" s="913"/>
      <c r="C20" s="922"/>
      <c r="D20" s="913"/>
      <c r="E20" s="458" t="s">
        <v>1611</v>
      </c>
      <c r="F20" s="459"/>
      <c r="G20" s="448"/>
      <c r="H20" s="448"/>
      <c r="I20" s="449"/>
      <c r="J20" s="927"/>
    </row>
    <row r="21" spans="1:10" ht="17.45" customHeight="1">
      <c r="A21" s="914"/>
      <c r="B21" s="913"/>
      <c r="C21" s="922"/>
      <c r="D21" s="913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27"/>
    </row>
    <row r="22" spans="1:10" s="462" customFormat="1" ht="17.45" customHeight="1">
      <c r="A22" s="914"/>
      <c r="B22" s="913"/>
      <c r="C22" s="918" t="s">
        <v>1424</v>
      </c>
      <c r="D22" s="919"/>
      <c r="E22" s="920"/>
      <c r="F22" s="460"/>
      <c r="G22" s="453"/>
      <c r="H22" s="453"/>
      <c r="I22" s="461">
        <f>SUM(I13:I21)</f>
        <v>1320600</v>
      </c>
      <c r="J22" s="927"/>
    </row>
    <row r="23" spans="1:10" s="455" customFormat="1" ht="17.45" customHeight="1">
      <c r="A23" s="914"/>
      <c r="B23" s="913"/>
      <c r="C23" s="918" t="s">
        <v>1603</v>
      </c>
      <c r="D23" s="919"/>
      <c r="E23" s="920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27"/>
    </row>
    <row r="24" spans="1:10" s="462" customFormat="1" ht="17.45" customHeight="1">
      <c r="A24" s="914"/>
      <c r="B24" s="913"/>
      <c r="C24" s="918" t="s">
        <v>1428</v>
      </c>
      <c r="D24" s="919"/>
      <c r="E24" s="920"/>
      <c r="F24" s="451"/>
      <c r="G24" s="452"/>
      <c r="H24" s="452"/>
      <c r="I24" s="457">
        <f>I23+I22</f>
        <v>1512660</v>
      </c>
      <c r="J24" s="927"/>
    </row>
    <row r="25" spans="1:10" ht="17.45" customHeight="1">
      <c r="A25" s="913">
        <v>3</v>
      </c>
      <c r="B25" s="913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27">
        <f>ROUND(I28*0.8,0)</f>
        <v>298999</v>
      </c>
    </row>
    <row r="26" spans="1:10" s="462" customFormat="1" ht="17.45" customHeight="1">
      <c r="A26" s="913"/>
      <c r="B26" s="913"/>
      <c r="C26" s="918" t="s">
        <v>1424</v>
      </c>
      <c r="D26" s="919"/>
      <c r="E26" s="920"/>
      <c r="F26" s="451"/>
      <c r="G26" s="452"/>
      <c r="H26" s="453"/>
      <c r="I26" s="454">
        <f>SUM(I25:I25)</f>
        <v>339772</v>
      </c>
      <c r="J26" s="927"/>
    </row>
    <row r="27" spans="1:10" s="455" customFormat="1" ht="17.45" customHeight="1">
      <c r="A27" s="913"/>
      <c r="B27" s="913"/>
      <c r="C27" s="918" t="s">
        <v>1603</v>
      </c>
      <c r="D27" s="919"/>
      <c r="E27" s="920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27"/>
    </row>
    <row r="28" spans="1:10" s="462" customFormat="1" ht="17.45" customHeight="1">
      <c r="A28" s="913"/>
      <c r="B28" s="913"/>
      <c r="C28" s="918" t="s">
        <v>1428</v>
      </c>
      <c r="D28" s="919"/>
      <c r="E28" s="920"/>
      <c r="F28" s="451"/>
      <c r="G28" s="452"/>
      <c r="H28" s="453"/>
      <c r="I28" s="457">
        <f>I27+I26</f>
        <v>373749</v>
      </c>
      <c r="J28" s="927"/>
    </row>
    <row r="29" spans="1:10" ht="17.45" customHeight="1">
      <c r="A29" s="913">
        <v>4</v>
      </c>
      <c r="B29" s="913" t="s">
        <v>315</v>
      </c>
      <c r="C29" s="914" t="s">
        <v>1616</v>
      </c>
      <c r="D29" s="913" t="s">
        <v>1614</v>
      </c>
      <c r="E29" s="463" t="s">
        <v>1617</v>
      </c>
      <c r="F29" s="915" t="s">
        <v>1372</v>
      </c>
      <c r="G29" s="929">
        <f>1150*0.8</f>
        <v>920</v>
      </c>
      <c r="H29" s="929">
        <v>330</v>
      </c>
      <c r="I29" s="915">
        <f>H29*G29</f>
        <v>303600</v>
      </c>
      <c r="J29" s="927">
        <f>ROUND(I34*0.8,0)</f>
        <v>345816</v>
      </c>
    </row>
    <row r="30" spans="1:10" ht="17.45" customHeight="1">
      <c r="A30" s="913"/>
      <c r="B30" s="913"/>
      <c r="C30" s="914"/>
      <c r="D30" s="913"/>
      <c r="E30" s="463" t="s">
        <v>1618</v>
      </c>
      <c r="F30" s="916"/>
      <c r="G30" s="930">
        <v>1150</v>
      </c>
      <c r="H30" s="930">
        <v>45</v>
      </c>
      <c r="I30" s="916"/>
      <c r="J30" s="927"/>
    </row>
    <row r="31" spans="1:10" ht="17.45" customHeight="1">
      <c r="A31" s="913"/>
      <c r="B31" s="913"/>
      <c r="C31" s="914"/>
      <c r="D31" s="913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27"/>
    </row>
    <row r="32" spans="1:10" s="462" customFormat="1" ht="17.45" customHeight="1">
      <c r="A32" s="913"/>
      <c r="B32" s="913"/>
      <c r="C32" s="918" t="s">
        <v>1424</v>
      </c>
      <c r="D32" s="919"/>
      <c r="E32" s="920"/>
      <c r="F32" s="451"/>
      <c r="G32" s="452"/>
      <c r="H32" s="453"/>
      <c r="I32" s="464">
        <f>I29+I31</f>
        <v>365700</v>
      </c>
      <c r="J32" s="927"/>
    </row>
    <row r="33" spans="1:16126" s="455" customFormat="1" ht="17.45" customHeight="1">
      <c r="A33" s="913"/>
      <c r="B33" s="913"/>
      <c r="C33" s="918" t="s">
        <v>1603</v>
      </c>
      <c r="D33" s="919"/>
      <c r="E33" s="920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27"/>
    </row>
    <row r="34" spans="1:16126" s="462" customFormat="1" ht="17.45" customHeight="1">
      <c r="A34" s="913"/>
      <c r="B34" s="913"/>
      <c r="C34" s="918" t="s">
        <v>1428</v>
      </c>
      <c r="D34" s="919"/>
      <c r="E34" s="920"/>
      <c r="F34" s="451"/>
      <c r="G34" s="452"/>
      <c r="H34" s="453"/>
      <c r="I34" s="457">
        <f>I33+I32</f>
        <v>432270</v>
      </c>
      <c r="J34" s="927"/>
    </row>
    <row r="35" spans="1:16126" ht="17.45" customHeight="1">
      <c r="A35" s="913">
        <v>5</v>
      </c>
      <c r="B35" s="913" t="s">
        <v>1620</v>
      </c>
      <c r="C35" s="914" t="s">
        <v>1369</v>
      </c>
      <c r="D35" s="915" t="s">
        <v>1421</v>
      </c>
      <c r="E35" s="446" t="s">
        <v>1621</v>
      </c>
      <c r="F35" s="915" t="s">
        <v>1372</v>
      </c>
      <c r="G35" s="929">
        <f>1434*0.2</f>
        <v>286.8</v>
      </c>
      <c r="H35" s="929">
        <v>300</v>
      </c>
      <c r="I35" s="915">
        <f>H35*G35</f>
        <v>86040</v>
      </c>
      <c r="J35" s="927">
        <f>ROUND(I40*0.8,0)</f>
        <v>342004</v>
      </c>
    </row>
    <row r="36" spans="1:16126" ht="17.45" customHeight="1">
      <c r="A36" s="913"/>
      <c r="B36" s="913"/>
      <c r="C36" s="914"/>
      <c r="D36" s="917"/>
      <c r="E36" s="446" t="s">
        <v>1622</v>
      </c>
      <c r="F36" s="916"/>
      <c r="G36" s="930"/>
      <c r="H36" s="930"/>
      <c r="I36" s="916"/>
      <c r="J36" s="927"/>
    </row>
    <row r="37" spans="1:16126" ht="17.45" customHeight="1">
      <c r="A37" s="913"/>
      <c r="B37" s="913"/>
      <c r="C37" s="914"/>
      <c r="D37" s="916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27"/>
    </row>
    <row r="38" spans="1:16126" ht="17.45" customHeight="1">
      <c r="A38" s="913"/>
      <c r="B38" s="913"/>
      <c r="C38" s="918" t="s">
        <v>1424</v>
      </c>
      <c r="D38" s="919"/>
      <c r="E38" s="920"/>
      <c r="F38" s="451"/>
      <c r="G38" s="452"/>
      <c r="H38" s="466"/>
      <c r="I38" s="464">
        <f>SUM(I35:I37)</f>
        <v>361368</v>
      </c>
      <c r="J38" s="927"/>
    </row>
    <row r="39" spans="1:16126" s="455" customFormat="1" ht="17.45" customHeight="1">
      <c r="A39" s="913"/>
      <c r="B39" s="913"/>
      <c r="C39" s="918" t="s">
        <v>1603</v>
      </c>
      <c r="D39" s="919"/>
      <c r="E39" s="920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27"/>
    </row>
    <row r="40" spans="1:16126" s="462" customFormat="1" ht="17.45" customHeight="1">
      <c r="A40" s="915"/>
      <c r="B40" s="915"/>
      <c r="C40" s="931" t="s">
        <v>1428</v>
      </c>
      <c r="D40" s="932"/>
      <c r="E40" s="933"/>
      <c r="F40" s="475"/>
      <c r="G40" s="476"/>
      <c r="H40" s="477"/>
      <c r="I40" s="478">
        <f>I39+I38</f>
        <v>427505</v>
      </c>
      <c r="J40" s="927"/>
    </row>
    <row r="41" spans="1:16126" ht="17.45" customHeight="1">
      <c r="A41" s="913">
        <v>6</v>
      </c>
      <c r="B41" s="913" t="s">
        <v>1624</v>
      </c>
      <c r="C41" s="914" t="s">
        <v>1369</v>
      </c>
      <c r="D41" s="913" t="s">
        <v>1421</v>
      </c>
      <c r="E41" s="446" t="s">
        <v>1625</v>
      </c>
      <c r="F41" s="913" t="s">
        <v>1372</v>
      </c>
      <c r="G41" s="928">
        <f>1861*0.9</f>
        <v>1674.9</v>
      </c>
      <c r="H41" s="928">
        <v>300</v>
      </c>
      <c r="I41" s="913">
        <f>H41*G41</f>
        <v>502470</v>
      </c>
      <c r="J41" s="927">
        <f>ROUND(I46*0.8,0)</f>
        <v>505478</v>
      </c>
    </row>
    <row r="42" spans="1:16126" ht="17.45" customHeight="1">
      <c r="A42" s="913"/>
      <c r="B42" s="913"/>
      <c r="C42" s="914"/>
      <c r="D42" s="913"/>
      <c r="E42" s="446" t="s">
        <v>1626</v>
      </c>
      <c r="F42" s="913"/>
      <c r="G42" s="928"/>
      <c r="H42" s="928"/>
      <c r="I42" s="913"/>
      <c r="J42" s="927"/>
    </row>
    <row r="43" spans="1:16126" ht="17.45" customHeight="1">
      <c r="A43" s="913"/>
      <c r="B43" s="913"/>
      <c r="C43" s="914"/>
      <c r="D43" s="913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27"/>
    </row>
    <row r="44" spans="1:16126" ht="17.45" customHeight="1">
      <c r="A44" s="913"/>
      <c r="B44" s="913"/>
      <c r="C44" s="921" t="s">
        <v>1424</v>
      </c>
      <c r="D44" s="921"/>
      <c r="E44" s="921"/>
      <c r="F44" s="451"/>
      <c r="G44" s="452"/>
      <c r="H44" s="466"/>
      <c r="I44" s="464">
        <f>SUM(I41:I43)</f>
        <v>547134</v>
      </c>
      <c r="J44" s="927"/>
    </row>
    <row r="45" spans="1:16126" s="455" customFormat="1" ht="17.45" customHeight="1">
      <c r="A45" s="913"/>
      <c r="B45" s="913"/>
      <c r="C45" s="921" t="s">
        <v>1603</v>
      </c>
      <c r="D45" s="921"/>
      <c r="E45" s="921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27"/>
    </row>
    <row r="46" spans="1:16126" s="462" customFormat="1" ht="17.45" customHeight="1">
      <c r="A46" s="913"/>
      <c r="B46" s="913"/>
      <c r="C46" s="921" t="s">
        <v>1428</v>
      </c>
      <c r="D46" s="921"/>
      <c r="E46" s="921"/>
      <c r="F46" s="451"/>
      <c r="G46" s="452"/>
      <c r="H46" s="453"/>
      <c r="I46" s="457">
        <f>I45+I44</f>
        <v>631847</v>
      </c>
      <c r="J46" s="927"/>
    </row>
    <row r="47" spans="1:16126" s="469" customFormat="1" ht="17.45" customHeight="1">
      <c r="A47" s="479"/>
      <c r="B47" s="479"/>
      <c r="C47" s="927" t="s">
        <v>1540</v>
      </c>
      <c r="D47" s="927"/>
      <c r="E47" s="927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57" t="s">
        <v>1628</v>
      </c>
      <c r="B1" s="857"/>
      <c r="C1" s="857"/>
      <c r="D1" s="857"/>
      <c r="E1" s="857"/>
      <c r="F1" s="857"/>
      <c r="G1" s="857"/>
      <c r="H1" s="857"/>
      <c r="I1" s="857"/>
      <c r="J1" s="858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46">
        <v>1</v>
      </c>
      <c r="B3" s="846" t="s">
        <v>1629</v>
      </c>
      <c r="C3" s="846" t="s">
        <v>1630</v>
      </c>
      <c r="D3" s="846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42">
        <f>ROUND(I14*0.8,0)</f>
        <v>153887</v>
      </c>
    </row>
    <row r="4" spans="1:11" ht="17.100000000000001" customHeight="1">
      <c r="A4" s="846"/>
      <c r="B4" s="846"/>
      <c r="C4" s="846"/>
      <c r="D4" s="846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56"/>
      <c r="K4" s="376"/>
    </row>
    <row r="5" spans="1:11" ht="17.100000000000001" customHeight="1">
      <c r="A5" s="846"/>
      <c r="B5" s="846"/>
      <c r="C5" s="846"/>
      <c r="D5" s="846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56"/>
    </row>
    <row r="6" spans="1:11" s="395" customFormat="1" ht="17.100000000000001" customHeight="1">
      <c r="A6" s="847"/>
      <c r="B6" s="847"/>
      <c r="C6" s="847" t="s">
        <v>1635</v>
      </c>
      <c r="D6" s="847"/>
      <c r="E6" s="847"/>
      <c r="F6" s="374"/>
      <c r="G6" s="374"/>
      <c r="H6" s="375"/>
      <c r="I6" s="567">
        <f>SUM(I3:I5)</f>
        <v>165053.23000000001</v>
      </c>
      <c r="J6" s="856"/>
    </row>
    <row r="7" spans="1:11" s="376" customFormat="1" ht="17.100000000000001" customHeight="1">
      <c r="A7" s="846"/>
      <c r="B7" s="846"/>
      <c r="C7" s="846" t="s">
        <v>1636</v>
      </c>
      <c r="D7" s="846"/>
      <c r="E7" s="846"/>
      <c r="F7" s="397"/>
      <c r="G7" s="381"/>
      <c r="H7" s="939">
        <v>0.1</v>
      </c>
      <c r="I7" s="941">
        <f>H7*I6</f>
        <v>16505.323</v>
      </c>
      <c r="J7" s="856"/>
    </row>
    <row r="8" spans="1:11" s="376" customFormat="1" ht="17.100000000000001" customHeight="1">
      <c r="A8" s="846"/>
      <c r="B8" s="846"/>
      <c r="C8" s="846" t="s">
        <v>1408</v>
      </c>
      <c r="D8" s="846"/>
      <c r="E8" s="846"/>
      <c r="F8" s="397"/>
      <c r="G8" s="381"/>
      <c r="H8" s="940"/>
      <c r="I8" s="941" t="e">
        <f>#REF!</f>
        <v>#REF!</v>
      </c>
      <c r="J8" s="856"/>
    </row>
    <row r="9" spans="1:11" s="376" customFormat="1" ht="17.100000000000001" customHeight="1">
      <c r="A9" s="846"/>
      <c r="B9" s="846"/>
      <c r="C9" s="846" t="s">
        <v>1409</v>
      </c>
      <c r="D9" s="846"/>
      <c r="E9" s="846"/>
      <c r="F9" s="397"/>
      <c r="G9" s="381"/>
      <c r="H9" s="940"/>
      <c r="I9" s="941">
        <f>H9</f>
        <v>0</v>
      </c>
      <c r="J9" s="856"/>
    </row>
    <row r="10" spans="1:11" s="376" customFormat="1" ht="17.100000000000001" customHeight="1">
      <c r="A10" s="846"/>
      <c r="B10" s="846"/>
      <c r="C10" s="846" t="s">
        <v>1410</v>
      </c>
      <c r="D10" s="846"/>
      <c r="E10" s="846"/>
      <c r="F10" s="397"/>
      <c r="G10" s="381"/>
      <c r="H10" s="940"/>
      <c r="I10" s="941">
        <f>H10</f>
        <v>0</v>
      </c>
      <c r="J10" s="856"/>
    </row>
    <row r="11" spans="1:11" s="376" customFormat="1" ht="17.100000000000001" customHeight="1">
      <c r="A11" s="846"/>
      <c r="B11" s="846"/>
      <c r="C11" s="846" t="s">
        <v>1637</v>
      </c>
      <c r="D11" s="846"/>
      <c r="E11" s="846"/>
      <c r="F11" s="397" t="s">
        <v>1638</v>
      </c>
      <c r="G11" s="846">
        <v>6</v>
      </c>
      <c r="H11" s="937">
        <v>1800</v>
      </c>
      <c r="I11" s="938">
        <f>G11*H11</f>
        <v>10800</v>
      </c>
      <c r="J11" s="856"/>
    </row>
    <row r="12" spans="1:11" s="376" customFormat="1" ht="17.100000000000001" customHeight="1">
      <c r="A12" s="846"/>
      <c r="B12" s="846"/>
      <c r="C12" s="846" t="s">
        <v>1637</v>
      </c>
      <c r="D12" s="846"/>
      <c r="E12" s="846"/>
      <c r="F12" s="397" t="s">
        <v>1638</v>
      </c>
      <c r="G12" s="846"/>
      <c r="H12" s="937"/>
      <c r="I12" s="938"/>
      <c r="J12" s="856"/>
    </row>
    <row r="13" spans="1:11" s="376" customFormat="1" ht="17.100000000000001" customHeight="1">
      <c r="A13" s="846"/>
      <c r="B13" s="846"/>
      <c r="C13" s="847" t="s">
        <v>1639</v>
      </c>
      <c r="D13" s="847"/>
      <c r="E13" s="847"/>
      <c r="F13" s="397"/>
      <c r="G13" s="397"/>
      <c r="H13" s="381"/>
      <c r="I13" s="561">
        <f>I7+I11</f>
        <v>27305.323</v>
      </c>
      <c r="J13" s="856"/>
    </row>
    <row r="14" spans="1:11" s="482" customFormat="1" ht="17.100000000000001" customHeight="1">
      <c r="A14" s="847"/>
      <c r="B14" s="847"/>
      <c r="C14" s="847" t="s">
        <v>24</v>
      </c>
      <c r="D14" s="847"/>
      <c r="E14" s="847"/>
      <c r="F14" s="374"/>
      <c r="G14" s="374"/>
      <c r="H14" s="375"/>
      <c r="I14" s="567">
        <f>I6+I13</f>
        <v>192358.55300000001</v>
      </c>
      <c r="J14" s="856"/>
    </row>
    <row r="15" spans="1:11" ht="17.100000000000001" customHeight="1">
      <c r="A15" s="846">
        <v>2</v>
      </c>
      <c r="B15" s="846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55">
        <f>ROUND(I23*0.8,0)</f>
        <v>259801</v>
      </c>
    </row>
    <row r="16" spans="1:11" ht="17.100000000000001" customHeight="1">
      <c r="A16" s="846"/>
      <c r="B16" s="846"/>
      <c r="C16" s="847" t="s">
        <v>1635</v>
      </c>
      <c r="D16" s="847"/>
      <c r="E16" s="847"/>
      <c r="F16" s="397"/>
      <c r="G16" s="397"/>
      <c r="H16" s="483"/>
      <c r="I16" s="567">
        <f>I15</f>
        <v>281170</v>
      </c>
      <c r="J16" s="855"/>
    </row>
    <row r="17" spans="1:10" ht="17.100000000000001" customHeight="1">
      <c r="A17" s="846"/>
      <c r="B17" s="846"/>
      <c r="C17" s="846" t="s">
        <v>1636</v>
      </c>
      <c r="D17" s="846"/>
      <c r="E17" s="846"/>
      <c r="F17" s="397"/>
      <c r="G17" s="397"/>
      <c r="H17" s="939">
        <v>0.1</v>
      </c>
      <c r="I17" s="941">
        <f>H17*I16</f>
        <v>28117</v>
      </c>
      <c r="J17" s="855"/>
    </row>
    <row r="18" spans="1:10" ht="17.100000000000001" customHeight="1">
      <c r="A18" s="846"/>
      <c r="B18" s="846"/>
      <c r="C18" s="846" t="s">
        <v>1408</v>
      </c>
      <c r="D18" s="846"/>
      <c r="E18" s="846"/>
      <c r="F18" s="397"/>
      <c r="G18" s="397"/>
      <c r="H18" s="940"/>
      <c r="I18" s="941"/>
      <c r="J18" s="855"/>
    </row>
    <row r="19" spans="1:10" ht="17.100000000000001" customHeight="1">
      <c r="A19" s="846"/>
      <c r="B19" s="846"/>
      <c r="C19" s="846" t="s">
        <v>1409</v>
      </c>
      <c r="D19" s="846"/>
      <c r="E19" s="846"/>
      <c r="F19" s="397"/>
      <c r="G19" s="397"/>
      <c r="H19" s="940"/>
      <c r="I19" s="941"/>
      <c r="J19" s="855"/>
    </row>
    <row r="20" spans="1:10" ht="17.100000000000001" customHeight="1">
      <c r="A20" s="846"/>
      <c r="B20" s="846"/>
      <c r="C20" s="846" t="s">
        <v>1410</v>
      </c>
      <c r="D20" s="846"/>
      <c r="E20" s="846"/>
      <c r="F20" s="397"/>
      <c r="G20" s="397"/>
      <c r="H20" s="940"/>
      <c r="I20" s="941"/>
      <c r="J20" s="855"/>
    </row>
    <row r="21" spans="1:10" ht="17.100000000000001" customHeight="1">
      <c r="A21" s="846"/>
      <c r="B21" s="846"/>
      <c r="C21" s="847" t="s">
        <v>1639</v>
      </c>
      <c r="D21" s="847"/>
      <c r="E21" s="847"/>
      <c r="F21" s="397"/>
      <c r="G21" s="397"/>
      <c r="H21" s="381"/>
      <c r="I21" s="567">
        <f>SUM(I17:I20)</f>
        <v>28117</v>
      </c>
      <c r="J21" s="855"/>
    </row>
    <row r="22" spans="1:10" ht="17.100000000000001" customHeight="1">
      <c r="A22" s="846"/>
      <c r="B22" s="846"/>
      <c r="C22" s="847" t="s">
        <v>1641</v>
      </c>
      <c r="D22" s="847"/>
      <c r="E22" s="847"/>
      <c r="F22" s="397"/>
      <c r="G22" s="397"/>
      <c r="H22" s="484">
        <v>0.05</v>
      </c>
      <c r="I22" s="567">
        <f>(I16+I21)*5%</f>
        <v>15464.35</v>
      </c>
      <c r="J22" s="855"/>
    </row>
    <row r="23" spans="1:10" s="395" customFormat="1" ht="17.100000000000001" customHeight="1">
      <c r="A23" s="847"/>
      <c r="B23" s="847"/>
      <c r="C23" s="847" t="s">
        <v>24</v>
      </c>
      <c r="D23" s="847"/>
      <c r="E23" s="847"/>
      <c r="F23" s="374"/>
      <c r="G23" s="374"/>
      <c r="H23" s="375"/>
      <c r="I23" s="567">
        <f>SUM(I16,I21,I22)</f>
        <v>324751.34999999998</v>
      </c>
      <c r="J23" s="855"/>
    </row>
    <row r="24" spans="1:10" ht="17.100000000000001" customHeight="1">
      <c r="A24" s="846">
        <v>3</v>
      </c>
      <c r="B24" s="846" t="s">
        <v>1642</v>
      </c>
      <c r="C24" s="846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42">
        <f>ROUND(I77*0.8,0)</f>
        <v>1100090</v>
      </c>
    </row>
    <row r="25" spans="1:10" ht="17.100000000000001" customHeight="1">
      <c r="A25" s="846"/>
      <c r="B25" s="846"/>
      <c r="C25" s="846"/>
      <c r="D25" s="846" t="s">
        <v>1646</v>
      </c>
      <c r="E25" s="846" t="s">
        <v>1647</v>
      </c>
      <c r="F25" s="846" t="s">
        <v>1479</v>
      </c>
      <c r="G25" s="397">
        <v>14</v>
      </c>
      <c r="H25" s="381">
        <v>220</v>
      </c>
      <c r="I25" s="561">
        <f t="shared" si="0"/>
        <v>3080</v>
      </c>
      <c r="J25" s="809"/>
    </row>
    <row r="26" spans="1:10" ht="17.100000000000001" customHeight="1">
      <c r="A26" s="846"/>
      <c r="B26" s="846"/>
      <c r="C26" s="846"/>
      <c r="D26" s="846"/>
      <c r="E26" s="846"/>
      <c r="F26" s="846"/>
      <c r="G26" s="397">
        <v>15</v>
      </c>
      <c r="H26" s="381">
        <v>70</v>
      </c>
      <c r="I26" s="561">
        <f t="shared" si="0"/>
        <v>1050</v>
      </c>
      <c r="J26" s="809"/>
    </row>
    <row r="27" spans="1:10" ht="17.100000000000001" customHeight="1">
      <c r="A27" s="846"/>
      <c r="B27" s="846"/>
      <c r="C27" s="846"/>
      <c r="D27" s="846"/>
      <c r="E27" s="846"/>
      <c r="F27" s="846"/>
      <c r="G27" s="397">
        <v>62.5</v>
      </c>
      <c r="H27" s="381">
        <v>45</v>
      </c>
      <c r="I27" s="561">
        <f t="shared" si="0"/>
        <v>2812.5</v>
      </c>
      <c r="J27" s="809"/>
    </row>
    <row r="28" spans="1:10" ht="17.100000000000001" customHeight="1">
      <c r="A28" s="846"/>
      <c r="B28" s="846"/>
      <c r="C28" s="846"/>
      <c r="D28" s="846"/>
      <c r="E28" s="846"/>
      <c r="F28" s="846"/>
      <c r="G28" s="397">
        <v>0</v>
      </c>
      <c r="H28" s="381">
        <v>150</v>
      </c>
      <c r="I28" s="561">
        <f t="shared" si="0"/>
        <v>0</v>
      </c>
      <c r="J28" s="809"/>
    </row>
    <row r="29" spans="1:10" ht="17.100000000000001" customHeight="1">
      <c r="A29" s="846"/>
      <c r="B29" s="846"/>
      <c r="C29" s="846"/>
      <c r="D29" s="846"/>
      <c r="E29" s="846" t="s">
        <v>1648</v>
      </c>
      <c r="F29" s="846"/>
      <c r="G29" s="397">
        <v>200</v>
      </c>
      <c r="H29" s="381">
        <v>225</v>
      </c>
      <c r="I29" s="561">
        <f t="shared" si="0"/>
        <v>45000</v>
      </c>
      <c r="J29" s="809"/>
    </row>
    <row r="30" spans="1:10" ht="17.100000000000001" customHeight="1">
      <c r="A30" s="846"/>
      <c r="B30" s="846"/>
      <c r="C30" s="846"/>
      <c r="D30" s="846"/>
      <c r="E30" s="846"/>
      <c r="F30" s="846"/>
      <c r="G30" s="397">
        <v>275</v>
      </c>
      <c r="H30" s="381">
        <v>45</v>
      </c>
      <c r="I30" s="561">
        <f t="shared" si="0"/>
        <v>12375</v>
      </c>
      <c r="J30" s="809"/>
    </row>
    <row r="31" spans="1:10" ht="17.100000000000001" customHeight="1">
      <c r="A31" s="846"/>
      <c r="B31" s="846"/>
      <c r="C31" s="846"/>
      <c r="D31" s="846"/>
      <c r="E31" s="846"/>
      <c r="F31" s="846"/>
      <c r="G31" s="397">
        <v>200</v>
      </c>
      <c r="H31" s="381">
        <v>200</v>
      </c>
      <c r="I31" s="561">
        <f t="shared" si="0"/>
        <v>40000</v>
      </c>
      <c r="J31" s="809"/>
    </row>
    <row r="32" spans="1:10" ht="17.100000000000001" customHeight="1">
      <c r="A32" s="846"/>
      <c r="B32" s="846"/>
      <c r="C32" s="846"/>
      <c r="D32" s="846"/>
      <c r="E32" s="846"/>
      <c r="F32" s="846"/>
      <c r="G32" s="397">
        <v>200</v>
      </c>
      <c r="H32" s="381">
        <v>190</v>
      </c>
      <c r="I32" s="561">
        <f t="shared" si="0"/>
        <v>38000</v>
      </c>
      <c r="J32" s="809"/>
    </row>
    <row r="33" spans="1:10" ht="17.100000000000001" customHeight="1">
      <c r="A33" s="846"/>
      <c r="B33" s="846"/>
      <c r="C33" s="846"/>
      <c r="D33" s="846" t="s">
        <v>1649</v>
      </c>
      <c r="E33" s="846" t="s">
        <v>1650</v>
      </c>
      <c r="F33" s="846" t="s">
        <v>1479</v>
      </c>
      <c r="G33" s="397">
        <v>0</v>
      </c>
      <c r="H33" s="381">
        <v>200</v>
      </c>
      <c r="I33" s="561">
        <f t="shared" si="0"/>
        <v>0</v>
      </c>
      <c r="J33" s="809"/>
    </row>
    <row r="34" spans="1:10" ht="17.100000000000001" customHeight="1">
      <c r="A34" s="846"/>
      <c r="B34" s="846"/>
      <c r="C34" s="846"/>
      <c r="D34" s="846"/>
      <c r="E34" s="846"/>
      <c r="F34" s="846"/>
      <c r="G34" s="397">
        <v>110</v>
      </c>
      <c r="H34" s="381">
        <v>200</v>
      </c>
      <c r="I34" s="561">
        <f t="shared" si="0"/>
        <v>22000</v>
      </c>
      <c r="J34" s="809"/>
    </row>
    <row r="35" spans="1:10" ht="17.100000000000001" customHeight="1">
      <c r="A35" s="846"/>
      <c r="B35" s="846"/>
      <c r="C35" s="846"/>
      <c r="D35" s="846"/>
      <c r="E35" s="846"/>
      <c r="F35" s="846"/>
      <c r="G35" s="397">
        <v>0</v>
      </c>
      <c r="H35" s="381">
        <v>45</v>
      </c>
      <c r="I35" s="561">
        <f t="shared" si="0"/>
        <v>0</v>
      </c>
      <c r="J35" s="809"/>
    </row>
    <row r="36" spans="1:10" ht="17.100000000000001" customHeight="1">
      <c r="A36" s="846"/>
      <c r="B36" s="846"/>
      <c r="C36" s="846"/>
      <c r="D36" s="846"/>
      <c r="E36" s="846"/>
      <c r="F36" s="846"/>
      <c r="G36" s="397">
        <v>0</v>
      </c>
      <c r="H36" s="381">
        <v>150</v>
      </c>
      <c r="I36" s="561">
        <f t="shared" si="0"/>
        <v>0</v>
      </c>
      <c r="J36" s="809"/>
    </row>
    <row r="37" spans="1:10" ht="17.100000000000001" customHeight="1">
      <c r="A37" s="846"/>
      <c r="B37" s="846"/>
      <c r="C37" s="846"/>
      <c r="D37" s="846"/>
      <c r="E37" s="846" t="s">
        <v>1651</v>
      </c>
      <c r="F37" s="846" t="s">
        <v>1479</v>
      </c>
      <c r="G37" s="397">
        <v>0</v>
      </c>
      <c r="H37" s="381">
        <v>230</v>
      </c>
      <c r="I37" s="561">
        <f t="shared" si="0"/>
        <v>0</v>
      </c>
      <c r="J37" s="809"/>
    </row>
    <row r="38" spans="1:10" ht="17.100000000000001" customHeight="1">
      <c r="A38" s="846"/>
      <c r="B38" s="846"/>
      <c r="C38" s="846"/>
      <c r="D38" s="846"/>
      <c r="E38" s="846"/>
      <c r="F38" s="846"/>
      <c r="G38" s="397">
        <v>340</v>
      </c>
      <c r="H38" s="381">
        <v>250</v>
      </c>
      <c r="I38" s="561">
        <f t="shared" si="0"/>
        <v>85000</v>
      </c>
      <c r="J38" s="809"/>
    </row>
    <row r="39" spans="1:10" ht="17.100000000000001" customHeight="1">
      <c r="A39" s="846"/>
      <c r="B39" s="846"/>
      <c r="C39" s="846"/>
      <c r="D39" s="846"/>
      <c r="E39" s="846"/>
      <c r="F39" s="846"/>
      <c r="G39" s="397">
        <v>75</v>
      </c>
      <c r="H39" s="381">
        <v>45</v>
      </c>
      <c r="I39" s="561">
        <f t="shared" si="0"/>
        <v>3375</v>
      </c>
      <c r="J39" s="809"/>
    </row>
    <row r="40" spans="1:10" ht="17.100000000000001" customHeight="1">
      <c r="A40" s="846"/>
      <c r="B40" s="846"/>
      <c r="C40" s="846"/>
      <c r="D40" s="846"/>
      <c r="E40" s="846"/>
      <c r="F40" s="846"/>
      <c r="G40" s="397">
        <v>0</v>
      </c>
      <c r="H40" s="381">
        <v>180</v>
      </c>
      <c r="I40" s="561">
        <f t="shared" si="0"/>
        <v>0</v>
      </c>
      <c r="J40" s="809"/>
    </row>
    <row r="41" spans="1:10" ht="17.100000000000001" customHeight="1">
      <c r="A41" s="846"/>
      <c r="B41" s="846"/>
      <c r="C41" s="846"/>
      <c r="D41" s="846"/>
      <c r="E41" s="846"/>
      <c r="F41" s="846"/>
      <c r="G41" s="397">
        <v>0</v>
      </c>
      <c r="H41" s="381">
        <v>200</v>
      </c>
      <c r="I41" s="561">
        <f t="shared" si="0"/>
        <v>0</v>
      </c>
      <c r="J41" s="809"/>
    </row>
    <row r="42" spans="1:10" ht="17.100000000000001" customHeight="1">
      <c r="A42" s="846"/>
      <c r="B42" s="846"/>
      <c r="C42" s="846"/>
      <c r="D42" s="846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809"/>
    </row>
    <row r="43" spans="1:10" ht="17.100000000000001" customHeight="1">
      <c r="A43" s="846"/>
      <c r="B43" s="846"/>
      <c r="C43" s="846"/>
      <c r="D43" s="846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809"/>
    </row>
    <row r="44" spans="1:10" s="376" customFormat="1" ht="17.100000000000001" customHeight="1">
      <c r="A44" s="846"/>
      <c r="B44" s="846"/>
      <c r="C44" s="846"/>
      <c r="D44" s="846" t="s">
        <v>1655</v>
      </c>
      <c r="E44" s="846" t="s">
        <v>1656</v>
      </c>
      <c r="F44" s="846" t="s">
        <v>1479</v>
      </c>
      <c r="G44" s="397">
        <v>120</v>
      </c>
      <c r="H44" s="381">
        <v>250</v>
      </c>
      <c r="I44" s="561">
        <f t="shared" si="0"/>
        <v>30000</v>
      </c>
      <c r="J44" s="809"/>
    </row>
    <row r="45" spans="1:10" ht="17.100000000000001" customHeight="1">
      <c r="A45" s="846"/>
      <c r="B45" s="846"/>
      <c r="C45" s="846"/>
      <c r="D45" s="846"/>
      <c r="E45" s="846"/>
      <c r="F45" s="846"/>
      <c r="G45" s="379">
        <v>200</v>
      </c>
      <c r="H45" s="381">
        <v>60</v>
      </c>
      <c r="I45" s="561">
        <f t="shared" si="0"/>
        <v>12000</v>
      </c>
      <c r="J45" s="809"/>
    </row>
    <row r="46" spans="1:10" ht="17.100000000000001" customHeight="1">
      <c r="A46" s="846"/>
      <c r="B46" s="846"/>
      <c r="C46" s="846"/>
      <c r="D46" s="846"/>
      <c r="E46" s="846"/>
      <c r="F46" s="846"/>
      <c r="G46" s="379">
        <v>238</v>
      </c>
      <c r="H46" s="381">
        <v>200</v>
      </c>
      <c r="I46" s="561">
        <f t="shared" si="0"/>
        <v>47600</v>
      </c>
      <c r="J46" s="809"/>
    </row>
    <row r="47" spans="1:10" ht="17.100000000000001" customHeight="1">
      <c r="A47" s="846"/>
      <c r="B47" s="846"/>
      <c r="C47" s="846"/>
      <c r="D47" s="846"/>
      <c r="E47" s="846"/>
      <c r="F47" s="846"/>
      <c r="G47" s="379">
        <v>6</v>
      </c>
      <c r="H47" s="397">
        <v>1600</v>
      </c>
      <c r="I47" s="561">
        <f t="shared" si="0"/>
        <v>9600</v>
      </c>
      <c r="J47" s="809"/>
    </row>
    <row r="48" spans="1:10" ht="17.100000000000001" customHeight="1">
      <c r="A48" s="846"/>
      <c r="B48" s="846"/>
      <c r="C48" s="846"/>
      <c r="D48" s="846"/>
      <c r="E48" s="846"/>
      <c r="F48" s="846"/>
      <c r="G48" s="379">
        <v>114</v>
      </c>
      <c r="H48" s="397">
        <v>280</v>
      </c>
      <c r="I48" s="561">
        <f t="shared" si="0"/>
        <v>31920</v>
      </c>
      <c r="J48" s="809"/>
    </row>
    <row r="49" spans="1:10" ht="17.100000000000001" customHeight="1">
      <c r="A49" s="846"/>
      <c r="B49" s="846"/>
      <c r="C49" s="846"/>
      <c r="D49" s="846"/>
      <c r="E49" s="846"/>
      <c r="F49" s="846"/>
      <c r="G49" s="379">
        <v>442</v>
      </c>
      <c r="H49" s="397">
        <v>56.5</v>
      </c>
      <c r="I49" s="561">
        <f t="shared" si="0"/>
        <v>24973</v>
      </c>
      <c r="J49" s="809"/>
    </row>
    <row r="50" spans="1:10" ht="17.100000000000001" customHeight="1">
      <c r="A50" s="846"/>
      <c r="B50" s="846"/>
      <c r="C50" s="846"/>
      <c r="D50" s="846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809"/>
    </row>
    <row r="51" spans="1:10" ht="17.100000000000001" customHeight="1">
      <c r="A51" s="846"/>
      <c r="B51" s="846"/>
      <c r="C51" s="846"/>
      <c r="D51" s="846"/>
      <c r="E51" s="846" t="s">
        <v>1658</v>
      </c>
      <c r="F51" s="846" t="s">
        <v>1479</v>
      </c>
      <c r="G51" s="381">
        <v>50</v>
      </c>
      <c r="H51" s="381">
        <v>50</v>
      </c>
      <c r="I51" s="561">
        <f t="shared" si="0"/>
        <v>2500</v>
      </c>
      <c r="J51" s="809"/>
    </row>
    <row r="52" spans="1:10" ht="17.100000000000001" customHeight="1">
      <c r="A52" s="846"/>
      <c r="B52" s="846"/>
      <c r="C52" s="846"/>
      <c r="D52" s="846"/>
      <c r="E52" s="846"/>
      <c r="F52" s="846"/>
      <c r="G52" s="381">
        <v>83.5</v>
      </c>
      <c r="H52" s="381">
        <v>200</v>
      </c>
      <c r="I52" s="561">
        <f t="shared" si="0"/>
        <v>16700</v>
      </c>
      <c r="J52" s="809"/>
    </row>
    <row r="53" spans="1:10" ht="17.100000000000001" customHeight="1">
      <c r="A53" s="846"/>
      <c r="B53" s="846"/>
      <c r="C53" s="846"/>
      <c r="D53" s="846"/>
      <c r="E53" s="846"/>
      <c r="F53" s="846"/>
      <c r="G53" s="381">
        <v>10</v>
      </c>
      <c r="H53" s="381">
        <v>150</v>
      </c>
      <c r="I53" s="561">
        <f t="shared" si="0"/>
        <v>1500</v>
      </c>
      <c r="J53" s="809"/>
    </row>
    <row r="54" spans="1:10" ht="17.100000000000001" customHeight="1">
      <c r="A54" s="846"/>
      <c r="B54" s="846"/>
      <c r="C54" s="846"/>
      <c r="D54" s="846"/>
      <c r="E54" s="846"/>
      <c r="F54" s="846"/>
      <c r="G54" s="381">
        <v>100</v>
      </c>
      <c r="H54" s="381">
        <v>45</v>
      </c>
      <c r="I54" s="561">
        <f t="shared" si="0"/>
        <v>4500</v>
      </c>
      <c r="J54" s="809"/>
    </row>
    <row r="55" spans="1:10" ht="17.100000000000001" customHeight="1">
      <c r="A55" s="846"/>
      <c r="B55" s="846"/>
      <c r="C55" s="846"/>
      <c r="D55" s="846"/>
      <c r="E55" s="846"/>
      <c r="F55" s="846"/>
      <c r="G55" s="381">
        <v>20</v>
      </c>
      <c r="H55" s="381">
        <v>200</v>
      </c>
      <c r="I55" s="561">
        <f t="shared" si="0"/>
        <v>4000</v>
      </c>
      <c r="J55" s="809"/>
    </row>
    <row r="56" spans="1:10" ht="17.100000000000001" customHeight="1">
      <c r="A56" s="846"/>
      <c r="B56" s="846"/>
      <c r="C56" s="846"/>
      <c r="D56" s="846"/>
      <c r="E56" s="846"/>
      <c r="F56" s="846"/>
      <c r="G56" s="381">
        <v>82</v>
      </c>
      <c r="H56" s="379">
        <v>200</v>
      </c>
      <c r="I56" s="561">
        <f t="shared" si="0"/>
        <v>16400</v>
      </c>
      <c r="J56" s="809"/>
    </row>
    <row r="57" spans="1:10" ht="17.100000000000001" customHeight="1">
      <c r="A57" s="846"/>
      <c r="B57" s="846"/>
      <c r="C57" s="846"/>
      <c r="D57" s="846"/>
      <c r="E57" s="846"/>
      <c r="F57" s="846"/>
      <c r="G57" s="381">
        <v>150</v>
      </c>
      <c r="H57" s="381">
        <v>45</v>
      </c>
      <c r="I57" s="561">
        <f t="shared" si="0"/>
        <v>6750</v>
      </c>
      <c r="J57" s="809"/>
    </row>
    <row r="58" spans="1:10" ht="17.100000000000001" customHeight="1">
      <c r="A58" s="846"/>
      <c r="B58" s="846"/>
      <c r="C58" s="846"/>
      <c r="D58" s="846"/>
      <c r="E58" s="846"/>
      <c r="F58" s="846"/>
      <c r="G58" s="381">
        <v>65</v>
      </c>
      <c r="H58" s="381">
        <v>260</v>
      </c>
      <c r="I58" s="561">
        <f t="shared" si="0"/>
        <v>16900</v>
      </c>
      <c r="J58" s="809"/>
    </row>
    <row r="59" spans="1:10" ht="17.100000000000001" customHeight="1">
      <c r="A59" s="846"/>
      <c r="B59" s="846"/>
      <c r="C59" s="846"/>
      <c r="D59" s="846"/>
      <c r="E59" s="846"/>
      <c r="F59" s="846"/>
      <c r="G59" s="381">
        <v>50</v>
      </c>
      <c r="H59" s="381">
        <v>280</v>
      </c>
      <c r="I59" s="561">
        <f t="shared" si="0"/>
        <v>14000</v>
      </c>
      <c r="J59" s="809"/>
    </row>
    <row r="60" spans="1:10" ht="17.100000000000001" customHeight="1">
      <c r="A60" s="846"/>
      <c r="B60" s="846"/>
      <c r="C60" s="846"/>
      <c r="D60" s="846"/>
      <c r="E60" s="846" t="s">
        <v>1659</v>
      </c>
      <c r="F60" s="846" t="s">
        <v>1479</v>
      </c>
      <c r="G60" s="381">
        <v>25</v>
      </c>
      <c r="H60" s="381">
        <v>200</v>
      </c>
      <c r="I60" s="561">
        <f t="shared" si="0"/>
        <v>5000</v>
      </c>
      <c r="J60" s="809"/>
    </row>
    <row r="61" spans="1:10" ht="17.100000000000001" customHeight="1">
      <c r="A61" s="846"/>
      <c r="B61" s="846"/>
      <c r="C61" s="846"/>
      <c r="D61" s="846"/>
      <c r="E61" s="846"/>
      <c r="F61" s="846"/>
      <c r="G61" s="381">
        <v>0</v>
      </c>
      <c r="H61" s="381">
        <v>200</v>
      </c>
      <c r="I61" s="561">
        <f t="shared" si="0"/>
        <v>0</v>
      </c>
      <c r="J61" s="809"/>
    </row>
    <row r="62" spans="1:10" ht="17.100000000000001" customHeight="1">
      <c r="A62" s="846"/>
      <c r="B62" s="846"/>
      <c r="C62" s="846"/>
      <c r="D62" s="846"/>
      <c r="E62" s="846"/>
      <c r="F62" s="846"/>
      <c r="G62" s="381">
        <v>0</v>
      </c>
      <c r="H62" s="381">
        <v>220</v>
      </c>
      <c r="I62" s="561">
        <f t="shared" si="0"/>
        <v>0</v>
      </c>
      <c r="J62" s="809"/>
    </row>
    <row r="63" spans="1:10" ht="17.100000000000001" customHeight="1">
      <c r="A63" s="846"/>
      <c r="B63" s="846"/>
      <c r="C63" s="846"/>
      <c r="D63" s="846"/>
      <c r="E63" s="846"/>
      <c r="F63" s="846"/>
      <c r="G63" s="381">
        <v>0</v>
      </c>
      <c r="H63" s="381">
        <v>45</v>
      </c>
      <c r="I63" s="561">
        <f t="shared" si="0"/>
        <v>0</v>
      </c>
      <c r="J63" s="809"/>
    </row>
    <row r="64" spans="1:10" ht="17.100000000000001" customHeight="1">
      <c r="A64" s="846"/>
      <c r="B64" s="846"/>
      <c r="C64" s="846"/>
      <c r="D64" s="846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809"/>
    </row>
    <row r="65" spans="1:10" ht="17.100000000000001" customHeight="1">
      <c r="A65" s="846"/>
      <c r="B65" s="846"/>
      <c r="C65" s="846"/>
      <c r="D65" s="846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809"/>
    </row>
    <row r="66" spans="1:10" ht="17.100000000000001" customHeight="1">
      <c r="A66" s="846"/>
      <c r="B66" s="846"/>
      <c r="C66" s="846"/>
      <c r="D66" s="846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809"/>
    </row>
    <row r="67" spans="1:10" ht="17.100000000000001" customHeight="1">
      <c r="A67" s="846"/>
      <c r="B67" s="846"/>
      <c r="C67" s="846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809"/>
    </row>
    <row r="68" spans="1:10" s="395" customFormat="1" ht="17.100000000000001" customHeight="1">
      <c r="A68" s="847"/>
      <c r="B68" s="847"/>
      <c r="C68" s="847" t="s">
        <v>1635</v>
      </c>
      <c r="D68" s="847"/>
      <c r="E68" s="847"/>
      <c r="F68" s="374"/>
      <c r="G68" s="374"/>
      <c r="H68" s="375"/>
      <c r="I68" s="567">
        <f>SUM(I24:I67)</f>
        <v>1184647.22</v>
      </c>
      <c r="J68" s="809"/>
    </row>
    <row r="69" spans="1:10" ht="17.100000000000001" customHeight="1">
      <c r="A69" s="846"/>
      <c r="B69" s="846"/>
      <c r="C69" s="846" t="s">
        <v>1407</v>
      </c>
      <c r="D69" s="846"/>
      <c r="E69" s="846"/>
      <c r="F69" s="397"/>
      <c r="G69" s="397">
        <v>0</v>
      </c>
      <c r="H69" s="940">
        <v>0.1</v>
      </c>
      <c r="I69" s="941">
        <f>H69*I68</f>
        <v>118464.72200000001</v>
      </c>
      <c r="J69" s="809"/>
    </row>
    <row r="70" spans="1:10" ht="17.100000000000001" customHeight="1">
      <c r="A70" s="846"/>
      <c r="B70" s="846"/>
      <c r="C70" s="846" t="s">
        <v>1636</v>
      </c>
      <c r="D70" s="846"/>
      <c r="E70" s="846"/>
      <c r="F70" s="397"/>
      <c r="G70" s="397">
        <v>0</v>
      </c>
      <c r="H70" s="940"/>
      <c r="I70" s="941">
        <f>H70*G70</f>
        <v>0</v>
      </c>
      <c r="J70" s="809"/>
    </row>
    <row r="71" spans="1:10" ht="17.100000000000001" customHeight="1">
      <c r="A71" s="846"/>
      <c r="B71" s="846"/>
      <c r="C71" s="846" t="s">
        <v>1408</v>
      </c>
      <c r="D71" s="846"/>
      <c r="E71" s="846"/>
      <c r="F71" s="397"/>
      <c r="G71" s="397">
        <v>0</v>
      </c>
      <c r="H71" s="940"/>
      <c r="I71" s="941" t="e">
        <f>#REF!</f>
        <v>#REF!</v>
      </c>
      <c r="J71" s="809"/>
    </row>
    <row r="72" spans="1:10" ht="17.100000000000001" customHeight="1">
      <c r="A72" s="846"/>
      <c r="B72" s="846"/>
      <c r="C72" s="846" t="s">
        <v>1409</v>
      </c>
      <c r="D72" s="846"/>
      <c r="E72" s="846"/>
      <c r="F72" s="397"/>
      <c r="G72" s="397"/>
      <c r="H72" s="940"/>
      <c r="I72" s="941">
        <f>H72</f>
        <v>0</v>
      </c>
      <c r="J72" s="809"/>
    </row>
    <row r="73" spans="1:10" ht="17.100000000000001" customHeight="1">
      <c r="A73" s="846"/>
      <c r="B73" s="846"/>
      <c r="C73" s="846" t="s">
        <v>1410</v>
      </c>
      <c r="D73" s="846"/>
      <c r="E73" s="846"/>
      <c r="F73" s="397"/>
      <c r="G73" s="397"/>
      <c r="H73" s="940"/>
      <c r="I73" s="941">
        <f>H73</f>
        <v>0</v>
      </c>
      <c r="J73" s="809"/>
    </row>
    <row r="74" spans="1:10" ht="17.100000000000001" customHeight="1">
      <c r="A74" s="846"/>
      <c r="B74" s="846"/>
      <c r="C74" s="846" t="s">
        <v>1637</v>
      </c>
      <c r="D74" s="846"/>
      <c r="E74" s="846"/>
      <c r="F74" s="397" t="s">
        <v>1638</v>
      </c>
      <c r="G74" s="846">
        <v>40</v>
      </c>
      <c r="H74" s="937">
        <v>1800</v>
      </c>
      <c r="I74" s="938">
        <f t="shared" ref="I74:I86" si="1">G74*H74</f>
        <v>72000</v>
      </c>
      <c r="J74" s="809"/>
    </row>
    <row r="75" spans="1:10" ht="17.100000000000001" customHeight="1">
      <c r="A75" s="846"/>
      <c r="B75" s="846"/>
      <c r="C75" s="846" t="s">
        <v>1637</v>
      </c>
      <c r="D75" s="846"/>
      <c r="E75" s="846"/>
      <c r="F75" s="397" t="s">
        <v>1638</v>
      </c>
      <c r="G75" s="846"/>
      <c r="H75" s="937"/>
      <c r="I75" s="938"/>
      <c r="J75" s="809"/>
    </row>
    <row r="76" spans="1:10" ht="17.100000000000001" customHeight="1">
      <c r="A76" s="846"/>
      <c r="B76" s="846"/>
      <c r="C76" s="847" t="s">
        <v>1639</v>
      </c>
      <c r="D76" s="847"/>
      <c r="E76" s="847"/>
      <c r="F76" s="397"/>
      <c r="G76" s="397"/>
      <c r="H76" s="381"/>
      <c r="I76" s="561">
        <f>I69+I74</f>
        <v>190464.72200000001</v>
      </c>
      <c r="J76" s="809"/>
    </row>
    <row r="77" spans="1:10" s="482" customFormat="1" ht="17.100000000000001" customHeight="1">
      <c r="A77" s="847"/>
      <c r="B77" s="847"/>
      <c r="C77" s="847" t="s">
        <v>24</v>
      </c>
      <c r="D77" s="847"/>
      <c r="E77" s="847"/>
      <c r="F77" s="374"/>
      <c r="G77" s="374"/>
      <c r="H77" s="375"/>
      <c r="I77" s="567">
        <f>I68+I76</f>
        <v>1375111.942</v>
      </c>
      <c r="J77" s="809"/>
    </row>
    <row r="78" spans="1:10" ht="17.100000000000001" customHeight="1">
      <c r="A78" s="846">
        <v>4</v>
      </c>
      <c r="B78" s="846" t="s">
        <v>1666</v>
      </c>
      <c r="C78" s="846" t="s">
        <v>1369</v>
      </c>
      <c r="D78" s="846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55">
        <f>ROUND(I95*0.8,0)</f>
        <v>165538</v>
      </c>
    </row>
    <row r="79" spans="1:10" ht="17.100000000000001" customHeight="1">
      <c r="A79" s="846"/>
      <c r="B79" s="846"/>
      <c r="C79" s="846"/>
      <c r="D79" s="846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809"/>
    </row>
    <row r="80" spans="1:10" ht="17.100000000000001" customHeight="1">
      <c r="A80" s="846"/>
      <c r="B80" s="846"/>
      <c r="C80" s="846"/>
      <c r="D80" s="846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809"/>
    </row>
    <row r="81" spans="1:17" ht="17.100000000000001" customHeight="1">
      <c r="A81" s="846"/>
      <c r="B81" s="846"/>
      <c r="C81" s="846"/>
      <c r="D81" s="846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809"/>
    </row>
    <row r="82" spans="1:17" ht="17.100000000000001" customHeight="1">
      <c r="A82" s="846"/>
      <c r="B82" s="846"/>
      <c r="C82" s="846"/>
      <c r="D82" s="846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809"/>
    </row>
    <row r="83" spans="1:17" ht="17.100000000000001" customHeight="1">
      <c r="A83" s="846"/>
      <c r="B83" s="846"/>
      <c r="C83" s="846"/>
      <c r="D83" s="846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809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46"/>
      <c r="B84" s="846"/>
      <c r="C84" s="846"/>
      <c r="D84" s="846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809"/>
    </row>
    <row r="85" spans="1:17" ht="17.100000000000001" customHeight="1">
      <c r="A85" s="846"/>
      <c r="B85" s="846"/>
      <c r="C85" s="846"/>
      <c r="D85" s="846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809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46"/>
      <c r="B86" s="846"/>
      <c r="C86" s="846"/>
      <c r="D86" s="846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809"/>
    </row>
    <row r="87" spans="1:17" s="395" customFormat="1" ht="17.100000000000001" customHeight="1">
      <c r="A87" s="847"/>
      <c r="B87" s="847"/>
      <c r="C87" s="847" t="s">
        <v>1635</v>
      </c>
      <c r="D87" s="847"/>
      <c r="E87" s="847"/>
      <c r="F87" s="374"/>
      <c r="G87" s="374"/>
      <c r="H87" s="375"/>
      <c r="I87" s="567">
        <f>SUM(I78:I86)</f>
        <v>180475</v>
      </c>
      <c r="J87" s="809"/>
    </row>
    <row r="88" spans="1:17" ht="17.100000000000001" customHeight="1">
      <c r="A88" s="846"/>
      <c r="B88" s="846"/>
      <c r="C88" s="846" t="s">
        <v>1636</v>
      </c>
      <c r="D88" s="846"/>
      <c r="E88" s="846"/>
      <c r="F88" s="397"/>
      <c r="G88" s="397">
        <v>0</v>
      </c>
      <c r="H88" s="940">
        <v>0.1</v>
      </c>
      <c r="I88" s="941">
        <f>H88*I87</f>
        <v>18047.5</v>
      </c>
      <c r="J88" s="809"/>
    </row>
    <row r="89" spans="1:17" ht="17.100000000000001" customHeight="1">
      <c r="A89" s="846"/>
      <c r="B89" s="846"/>
      <c r="C89" s="846" t="s">
        <v>1408</v>
      </c>
      <c r="D89" s="846"/>
      <c r="E89" s="846"/>
      <c r="F89" s="397"/>
      <c r="G89" s="397">
        <v>0</v>
      </c>
      <c r="H89" s="940"/>
      <c r="I89" s="941"/>
      <c r="J89" s="809"/>
    </row>
    <row r="90" spans="1:17" ht="17.100000000000001" customHeight="1">
      <c r="A90" s="846"/>
      <c r="B90" s="846"/>
      <c r="C90" s="846" t="s">
        <v>1409</v>
      </c>
      <c r="D90" s="846"/>
      <c r="E90" s="846"/>
      <c r="F90" s="397"/>
      <c r="G90" s="397"/>
      <c r="H90" s="940"/>
      <c r="I90" s="941"/>
      <c r="J90" s="809"/>
    </row>
    <row r="91" spans="1:17" ht="17.100000000000001" customHeight="1">
      <c r="A91" s="846"/>
      <c r="B91" s="846"/>
      <c r="C91" s="846" t="s">
        <v>1410</v>
      </c>
      <c r="D91" s="846"/>
      <c r="E91" s="846"/>
      <c r="F91" s="397"/>
      <c r="G91" s="397"/>
      <c r="H91" s="940"/>
      <c r="I91" s="941"/>
      <c r="J91" s="809"/>
    </row>
    <row r="92" spans="1:17" ht="17.100000000000001" customHeight="1">
      <c r="A92" s="846"/>
      <c r="B92" s="846"/>
      <c r="C92" s="846" t="s">
        <v>1637</v>
      </c>
      <c r="D92" s="846"/>
      <c r="E92" s="846"/>
      <c r="F92" s="397" t="s">
        <v>1638</v>
      </c>
      <c r="G92" s="846">
        <v>4</v>
      </c>
      <c r="H92" s="937">
        <v>2100</v>
      </c>
      <c r="I92" s="938">
        <f t="shared" ref="I92:I98" si="2">G92*H92</f>
        <v>8400</v>
      </c>
      <c r="J92" s="809"/>
    </row>
    <row r="93" spans="1:17" ht="17.100000000000001" customHeight="1">
      <c r="A93" s="846"/>
      <c r="B93" s="846"/>
      <c r="C93" s="846" t="s">
        <v>1637</v>
      </c>
      <c r="D93" s="846"/>
      <c r="E93" s="846"/>
      <c r="F93" s="397" t="s">
        <v>1638</v>
      </c>
      <c r="G93" s="846"/>
      <c r="H93" s="937"/>
      <c r="I93" s="938"/>
      <c r="J93" s="809"/>
    </row>
    <row r="94" spans="1:17" s="395" customFormat="1" ht="17.100000000000001" customHeight="1">
      <c r="A94" s="847"/>
      <c r="B94" s="847"/>
      <c r="C94" s="847" t="s">
        <v>1639</v>
      </c>
      <c r="D94" s="847"/>
      <c r="E94" s="847"/>
      <c r="F94" s="374"/>
      <c r="G94" s="374"/>
      <c r="H94" s="375"/>
      <c r="I94" s="567">
        <f>SUM(I88:I93)</f>
        <v>26447.5</v>
      </c>
      <c r="J94" s="809"/>
    </row>
    <row r="95" spans="1:17" s="395" customFormat="1" ht="17.100000000000001" customHeight="1">
      <c r="A95" s="847"/>
      <c r="B95" s="847"/>
      <c r="C95" s="847" t="s">
        <v>24</v>
      </c>
      <c r="D95" s="847"/>
      <c r="E95" s="847"/>
      <c r="F95" s="374"/>
      <c r="G95" s="374"/>
      <c r="H95" s="375"/>
      <c r="I95" s="567">
        <f>I87+I94</f>
        <v>206922.5</v>
      </c>
      <c r="J95" s="809"/>
    </row>
    <row r="96" spans="1:17" ht="17.100000000000001" customHeight="1">
      <c r="A96" s="846">
        <v>5</v>
      </c>
      <c r="B96" s="846" t="s">
        <v>887</v>
      </c>
      <c r="C96" s="846" t="s">
        <v>1369</v>
      </c>
      <c r="D96" s="846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55">
        <f>ROUND(I107*0.8,0)</f>
        <v>261056</v>
      </c>
    </row>
    <row r="97" spans="1:10" ht="17.100000000000001" customHeight="1">
      <c r="A97" s="846"/>
      <c r="B97" s="846"/>
      <c r="C97" s="846"/>
      <c r="D97" s="846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55"/>
    </row>
    <row r="98" spans="1:10" ht="17.100000000000001" customHeight="1">
      <c r="A98" s="846"/>
      <c r="B98" s="846"/>
      <c r="C98" s="846"/>
      <c r="D98" s="846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55"/>
    </row>
    <row r="99" spans="1:10" s="395" customFormat="1" ht="17.100000000000001" customHeight="1">
      <c r="A99" s="847"/>
      <c r="B99" s="847"/>
      <c r="C99" s="847" t="s">
        <v>1635</v>
      </c>
      <c r="D99" s="847"/>
      <c r="E99" s="847"/>
      <c r="F99" s="374"/>
      <c r="G99" s="374"/>
      <c r="H99" s="375"/>
      <c r="I99" s="567">
        <f>SUM(I96:I98)</f>
        <v>285200</v>
      </c>
      <c r="J99" s="855"/>
    </row>
    <row r="100" spans="1:10" ht="17.100000000000001" customHeight="1">
      <c r="A100" s="846"/>
      <c r="B100" s="846"/>
      <c r="C100" s="846" t="s">
        <v>1636</v>
      </c>
      <c r="D100" s="846"/>
      <c r="E100" s="846"/>
      <c r="F100" s="397"/>
      <c r="G100" s="379">
        <v>0</v>
      </c>
      <c r="H100" s="940">
        <v>0.1</v>
      </c>
      <c r="I100" s="941">
        <f>H100*I99</f>
        <v>28520</v>
      </c>
      <c r="J100" s="855"/>
    </row>
    <row r="101" spans="1:10" ht="17.100000000000001" customHeight="1">
      <c r="A101" s="846"/>
      <c r="B101" s="846"/>
      <c r="C101" s="846" t="s">
        <v>1408</v>
      </c>
      <c r="D101" s="846"/>
      <c r="E101" s="846"/>
      <c r="F101" s="397"/>
      <c r="G101" s="379">
        <v>0</v>
      </c>
      <c r="H101" s="940"/>
      <c r="I101" s="941"/>
      <c r="J101" s="855"/>
    </row>
    <row r="102" spans="1:10" ht="17.100000000000001" customHeight="1">
      <c r="A102" s="846"/>
      <c r="B102" s="846"/>
      <c r="C102" s="846" t="s">
        <v>1409</v>
      </c>
      <c r="D102" s="846"/>
      <c r="E102" s="846"/>
      <c r="F102" s="397"/>
      <c r="G102" s="379"/>
      <c r="H102" s="940"/>
      <c r="I102" s="941"/>
      <c r="J102" s="855"/>
    </row>
    <row r="103" spans="1:10" ht="17.100000000000001" customHeight="1">
      <c r="A103" s="846"/>
      <c r="B103" s="846"/>
      <c r="C103" s="846" t="s">
        <v>1410</v>
      </c>
      <c r="D103" s="846"/>
      <c r="E103" s="846"/>
      <c r="F103" s="397"/>
      <c r="G103" s="379"/>
      <c r="H103" s="940"/>
      <c r="I103" s="941"/>
      <c r="J103" s="855"/>
    </row>
    <row r="104" spans="1:10" ht="17.100000000000001" customHeight="1">
      <c r="A104" s="846"/>
      <c r="B104" s="846"/>
      <c r="C104" s="846" t="s">
        <v>1637</v>
      </c>
      <c r="D104" s="846"/>
      <c r="E104" s="846"/>
      <c r="F104" s="397" t="s">
        <v>1638</v>
      </c>
      <c r="G104" s="846">
        <v>7</v>
      </c>
      <c r="H104" s="937">
        <v>1800</v>
      </c>
      <c r="I104" s="938">
        <f>G104*H104</f>
        <v>12600</v>
      </c>
      <c r="J104" s="855"/>
    </row>
    <row r="105" spans="1:10" ht="17.100000000000001" customHeight="1">
      <c r="A105" s="846"/>
      <c r="B105" s="846"/>
      <c r="C105" s="846" t="s">
        <v>1637</v>
      </c>
      <c r="D105" s="846"/>
      <c r="E105" s="846"/>
      <c r="F105" s="397" t="s">
        <v>1638</v>
      </c>
      <c r="G105" s="846"/>
      <c r="H105" s="937"/>
      <c r="I105" s="938"/>
      <c r="J105" s="855"/>
    </row>
    <row r="106" spans="1:10" ht="17.100000000000001" customHeight="1">
      <c r="A106" s="846"/>
      <c r="B106" s="846"/>
      <c r="C106" s="847" t="s">
        <v>1639</v>
      </c>
      <c r="D106" s="847"/>
      <c r="E106" s="847"/>
      <c r="F106" s="397"/>
      <c r="G106" s="397"/>
      <c r="H106" s="381"/>
      <c r="I106" s="561">
        <f>SUM(I100:I105)</f>
        <v>41120</v>
      </c>
      <c r="J106" s="855"/>
    </row>
    <row r="107" spans="1:10" s="395" customFormat="1" ht="17.100000000000001" customHeight="1">
      <c r="A107" s="847"/>
      <c r="B107" s="847"/>
      <c r="C107" s="847" t="s">
        <v>24</v>
      </c>
      <c r="D107" s="847"/>
      <c r="E107" s="847"/>
      <c r="F107" s="374"/>
      <c r="G107" s="374"/>
      <c r="H107" s="375"/>
      <c r="I107" s="567">
        <f>I99+I106</f>
        <v>326320</v>
      </c>
      <c r="J107" s="855"/>
    </row>
    <row r="108" spans="1:10" ht="17.100000000000001" customHeight="1">
      <c r="A108" s="379"/>
      <c r="B108" s="397"/>
      <c r="C108" s="845" t="s">
        <v>1540</v>
      </c>
      <c r="D108" s="845"/>
      <c r="E108" s="845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34" t="s">
        <v>1678</v>
      </c>
      <c r="B1" s="934"/>
      <c r="C1" s="934"/>
      <c r="D1" s="934"/>
      <c r="E1" s="934"/>
      <c r="F1" s="934"/>
      <c r="G1" s="934"/>
      <c r="H1" s="934"/>
      <c r="I1" s="934"/>
      <c r="J1" s="934"/>
      <c r="K1" s="935"/>
    </row>
    <row r="2" spans="1:11" ht="30" customHeight="1">
      <c r="A2" s="943" t="s">
        <v>1</v>
      </c>
      <c r="B2" s="943" t="s">
        <v>1588</v>
      </c>
      <c r="C2" s="943" t="s">
        <v>1679</v>
      </c>
      <c r="D2" s="943" t="s">
        <v>1589</v>
      </c>
      <c r="E2" s="943" t="s">
        <v>1419</v>
      </c>
      <c r="F2" s="943" t="s">
        <v>1680</v>
      </c>
      <c r="G2" s="944" t="s">
        <v>1681</v>
      </c>
      <c r="H2" s="944"/>
      <c r="I2" s="944"/>
      <c r="J2" s="944"/>
      <c r="K2" s="944" t="s">
        <v>1805</v>
      </c>
    </row>
    <row r="3" spans="1:11" s="474" customFormat="1" ht="42.95" customHeight="1">
      <c r="A3" s="943"/>
      <c r="B3" s="943"/>
      <c r="C3" s="943"/>
      <c r="D3" s="943"/>
      <c r="E3" s="943"/>
      <c r="F3" s="943"/>
      <c r="G3" s="488" t="s">
        <v>533</v>
      </c>
      <c r="H3" s="489" t="s">
        <v>1366</v>
      </c>
      <c r="I3" s="489" t="s">
        <v>1591</v>
      </c>
      <c r="J3" s="490" t="s">
        <v>1592</v>
      </c>
      <c r="K3" s="949"/>
    </row>
    <row r="4" spans="1:11" ht="18" customHeight="1">
      <c r="A4" s="947">
        <v>1</v>
      </c>
      <c r="B4" s="947" t="s">
        <v>395</v>
      </c>
      <c r="C4" s="947" t="s">
        <v>1682</v>
      </c>
      <c r="D4" s="945" t="s">
        <v>1369</v>
      </c>
      <c r="E4" s="947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44">
        <f>ROUND(J12*0.8,0)</f>
        <v>321693</v>
      </c>
    </row>
    <row r="5" spans="1:11" ht="18" customHeight="1">
      <c r="A5" s="947"/>
      <c r="B5" s="947"/>
      <c r="C5" s="947"/>
      <c r="D5" s="945"/>
      <c r="E5" s="947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44"/>
    </row>
    <row r="6" spans="1:11" ht="18" customHeight="1">
      <c r="A6" s="947"/>
      <c r="B6" s="947"/>
      <c r="C6" s="947"/>
      <c r="D6" s="945"/>
      <c r="E6" s="947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44"/>
    </row>
    <row r="7" spans="1:11" ht="18" customHeight="1">
      <c r="A7" s="947"/>
      <c r="B7" s="947"/>
      <c r="C7" s="947"/>
      <c r="D7" s="945"/>
      <c r="E7" s="947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44"/>
    </row>
    <row r="8" spans="1:11" ht="18" customHeight="1">
      <c r="A8" s="947"/>
      <c r="B8" s="947"/>
      <c r="C8" s="947"/>
      <c r="D8" s="945"/>
      <c r="E8" s="947" t="s">
        <v>1688</v>
      </c>
      <c r="F8" s="491" t="s">
        <v>1689</v>
      </c>
      <c r="G8" s="950" t="s">
        <v>1372</v>
      </c>
      <c r="H8" s="945">
        <v>720</v>
      </c>
      <c r="I8" s="945">
        <v>400</v>
      </c>
      <c r="J8" s="945">
        <f t="shared" si="0"/>
        <v>288000</v>
      </c>
      <c r="K8" s="944"/>
    </row>
    <row r="9" spans="1:11" ht="18" customHeight="1">
      <c r="A9" s="947"/>
      <c r="B9" s="947"/>
      <c r="C9" s="947"/>
      <c r="D9" s="945"/>
      <c r="E9" s="947"/>
      <c r="F9" s="491" t="s">
        <v>1690</v>
      </c>
      <c r="G9" s="950"/>
      <c r="H9" s="945"/>
      <c r="I9" s="945"/>
      <c r="J9" s="945"/>
      <c r="K9" s="944"/>
    </row>
    <row r="10" spans="1:11" ht="18" customHeight="1">
      <c r="A10" s="947"/>
      <c r="B10" s="947"/>
      <c r="C10" s="947"/>
      <c r="D10" s="945"/>
      <c r="E10" s="946" t="s">
        <v>1424</v>
      </c>
      <c r="F10" s="946"/>
      <c r="G10" s="495"/>
      <c r="H10" s="496"/>
      <c r="I10" s="496"/>
      <c r="J10" s="495">
        <f>SUM(J4:J9)</f>
        <v>360651</v>
      </c>
      <c r="K10" s="944"/>
    </row>
    <row r="11" spans="1:11" ht="18" customHeight="1">
      <c r="A11" s="947"/>
      <c r="B11" s="947"/>
      <c r="C11" s="947"/>
      <c r="D11" s="945"/>
      <c r="E11" s="944" t="s">
        <v>1603</v>
      </c>
      <c r="F11" s="944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44"/>
    </row>
    <row r="12" spans="1:11" ht="18" customHeight="1">
      <c r="A12" s="947"/>
      <c r="B12" s="947"/>
      <c r="C12" s="947"/>
      <c r="D12" s="945"/>
      <c r="E12" s="948" t="s">
        <v>1428</v>
      </c>
      <c r="F12" s="948"/>
      <c r="G12" s="498"/>
      <c r="H12" s="496"/>
      <c r="I12" s="496"/>
      <c r="J12" s="498">
        <f>J10+J11</f>
        <v>402116</v>
      </c>
      <c r="K12" s="944"/>
    </row>
    <row r="13" spans="1:11" ht="18" customHeight="1">
      <c r="A13" s="947">
        <v>2</v>
      </c>
      <c r="B13" s="947" t="s">
        <v>1691</v>
      </c>
      <c r="C13" s="947" t="s">
        <v>1692</v>
      </c>
      <c r="D13" s="945" t="s">
        <v>1616</v>
      </c>
      <c r="E13" s="947" t="s">
        <v>1693</v>
      </c>
      <c r="F13" s="947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44">
        <f>ROUND(J18*0.8,0)</f>
        <v>353982</v>
      </c>
    </row>
    <row r="14" spans="1:11" ht="18" customHeight="1">
      <c r="A14" s="947"/>
      <c r="B14" s="947"/>
      <c r="C14" s="947"/>
      <c r="D14" s="945"/>
      <c r="E14" s="947"/>
      <c r="F14" s="947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44"/>
    </row>
    <row r="15" spans="1:11" ht="18" customHeight="1">
      <c r="A15" s="947"/>
      <c r="B15" s="947"/>
      <c r="C15" s="947"/>
      <c r="D15" s="945"/>
      <c r="E15" s="947" t="s">
        <v>1694</v>
      </c>
      <c r="F15" s="947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44"/>
    </row>
    <row r="16" spans="1:11" ht="18" customHeight="1">
      <c r="A16" s="947"/>
      <c r="B16" s="947"/>
      <c r="C16" s="947"/>
      <c r="D16" s="945"/>
      <c r="E16" s="946" t="s">
        <v>1424</v>
      </c>
      <c r="F16" s="946"/>
      <c r="G16" s="495"/>
      <c r="H16" s="500"/>
      <c r="I16" s="500"/>
      <c r="J16" s="495">
        <f>SUM(J13:J15)</f>
        <v>374980</v>
      </c>
      <c r="K16" s="944"/>
    </row>
    <row r="17" spans="1:11" ht="18" customHeight="1">
      <c r="A17" s="947"/>
      <c r="B17" s="947"/>
      <c r="C17" s="947"/>
      <c r="D17" s="945"/>
      <c r="E17" s="946" t="s">
        <v>1603</v>
      </c>
      <c r="F17" s="946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44"/>
    </row>
    <row r="18" spans="1:11" ht="18" customHeight="1">
      <c r="A18" s="947"/>
      <c r="B18" s="947"/>
      <c r="C18" s="947"/>
      <c r="D18" s="945"/>
      <c r="E18" s="946" t="s">
        <v>1428</v>
      </c>
      <c r="F18" s="946"/>
      <c r="G18" s="498"/>
      <c r="H18" s="496"/>
      <c r="I18" s="496"/>
      <c r="J18" s="498">
        <f>SUM(J16,J17)</f>
        <v>442478</v>
      </c>
      <c r="K18" s="944"/>
    </row>
    <row r="19" spans="1:11" ht="18" customHeight="1">
      <c r="A19" s="500"/>
      <c r="B19" s="500"/>
      <c r="C19" s="500"/>
      <c r="D19" s="500"/>
      <c r="E19" s="944" t="s">
        <v>1540</v>
      </c>
      <c r="F19" s="949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57" t="s">
        <v>1695</v>
      </c>
      <c r="B1" s="857"/>
      <c r="C1" s="857"/>
      <c r="D1" s="857"/>
      <c r="E1" s="857"/>
      <c r="F1" s="857"/>
      <c r="G1" s="857"/>
      <c r="H1" s="857"/>
      <c r="I1" s="857"/>
      <c r="J1" s="858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41">
        <v>1</v>
      </c>
      <c r="B3" s="958" t="s">
        <v>1696</v>
      </c>
      <c r="C3" s="846" t="s">
        <v>1697</v>
      </c>
      <c r="D3" s="959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42">
        <f>ROUND(I13*0.8,0)</f>
        <v>80566</v>
      </c>
    </row>
    <row r="4" spans="1:10" s="507" customFormat="1" ht="18" customHeight="1">
      <c r="A4" s="841"/>
      <c r="B4" s="958"/>
      <c r="C4" s="846"/>
      <c r="D4" s="959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42"/>
    </row>
    <row r="5" spans="1:10" s="507" customFormat="1" ht="18" customHeight="1">
      <c r="A5" s="841"/>
      <c r="B5" s="958"/>
      <c r="C5" s="846"/>
      <c r="D5" s="959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42"/>
    </row>
    <row r="6" spans="1:10" s="507" customFormat="1" ht="18" customHeight="1">
      <c r="A6" s="841"/>
      <c r="B6" s="958"/>
      <c r="C6" s="846"/>
      <c r="D6" s="959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42"/>
    </row>
    <row r="7" spans="1:10" s="507" customFormat="1" ht="18" customHeight="1">
      <c r="A7" s="841"/>
      <c r="B7" s="958"/>
      <c r="C7" s="866" t="s">
        <v>1406</v>
      </c>
      <c r="D7" s="866"/>
      <c r="E7" s="866"/>
      <c r="F7" s="379"/>
      <c r="G7" s="394"/>
      <c r="H7" s="562"/>
      <c r="I7" s="580">
        <f>SUM(I3:I6)</f>
        <v>91552.4</v>
      </c>
      <c r="J7" s="942"/>
    </row>
    <row r="8" spans="1:10" s="507" customFormat="1" ht="18" customHeight="1">
      <c r="A8" s="841"/>
      <c r="B8" s="958"/>
      <c r="C8" s="859" t="s">
        <v>1704</v>
      </c>
      <c r="D8" s="859"/>
      <c r="E8" s="957"/>
      <c r="F8" s="379"/>
      <c r="G8" s="508"/>
      <c r="H8" s="951">
        <v>0.1</v>
      </c>
      <c r="I8" s="954">
        <f>I7*H8</f>
        <v>9155.24</v>
      </c>
      <c r="J8" s="942"/>
    </row>
    <row r="9" spans="1:10" s="507" customFormat="1" ht="18" customHeight="1">
      <c r="A9" s="841"/>
      <c r="B9" s="958"/>
      <c r="C9" s="859" t="s">
        <v>1408</v>
      </c>
      <c r="D9" s="859"/>
      <c r="E9" s="957"/>
      <c r="F9" s="379"/>
      <c r="G9" s="508"/>
      <c r="H9" s="952"/>
      <c r="I9" s="955"/>
      <c r="J9" s="942"/>
    </row>
    <row r="10" spans="1:10" s="507" customFormat="1" ht="18" customHeight="1">
      <c r="A10" s="841"/>
      <c r="B10" s="958"/>
      <c r="C10" s="859" t="s">
        <v>1409</v>
      </c>
      <c r="D10" s="859"/>
      <c r="E10" s="957"/>
      <c r="F10" s="379"/>
      <c r="G10" s="508"/>
      <c r="H10" s="952"/>
      <c r="I10" s="955"/>
      <c r="J10" s="942"/>
    </row>
    <row r="11" spans="1:10" s="507" customFormat="1" ht="18" customHeight="1">
      <c r="A11" s="841"/>
      <c r="B11" s="958"/>
      <c r="C11" s="859" t="s">
        <v>1410</v>
      </c>
      <c r="D11" s="859"/>
      <c r="E11" s="957"/>
      <c r="F11" s="379"/>
      <c r="G11" s="508"/>
      <c r="H11" s="953"/>
      <c r="I11" s="956"/>
      <c r="J11" s="942"/>
    </row>
    <row r="12" spans="1:10" s="507" customFormat="1" ht="18" customHeight="1">
      <c r="A12" s="841"/>
      <c r="B12" s="958"/>
      <c r="C12" s="866" t="s">
        <v>1418</v>
      </c>
      <c r="D12" s="866"/>
      <c r="E12" s="866"/>
      <c r="F12" s="379"/>
      <c r="G12" s="394"/>
      <c r="H12" s="562"/>
      <c r="I12" s="565">
        <f>I10+I11+I9+I8</f>
        <v>9155.24</v>
      </c>
      <c r="J12" s="942"/>
    </row>
    <row r="13" spans="1:10" s="507" customFormat="1" ht="18" customHeight="1">
      <c r="A13" s="841"/>
      <c r="B13" s="958"/>
      <c r="C13" s="866" t="s">
        <v>24</v>
      </c>
      <c r="D13" s="866"/>
      <c r="E13" s="866"/>
      <c r="F13" s="379"/>
      <c r="G13" s="394"/>
      <c r="H13" s="562"/>
      <c r="I13" s="565">
        <f>I12+I7</f>
        <v>100707.64</v>
      </c>
      <c r="J13" s="942"/>
    </row>
    <row r="14" spans="1:10" s="507" customFormat="1" ht="18" customHeight="1">
      <c r="A14" s="841">
        <v>2</v>
      </c>
      <c r="B14" s="958" t="s">
        <v>474</v>
      </c>
      <c r="C14" s="846" t="s">
        <v>1705</v>
      </c>
      <c r="D14" s="843" t="s">
        <v>1706</v>
      </c>
      <c r="E14" s="852" t="s">
        <v>1707</v>
      </c>
      <c r="F14" s="852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42">
        <f>ROUND(I35*0.8,0)</f>
        <v>2477934</v>
      </c>
    </row>
    <row r="15" spans="1:10" s="507" customFormat="1" ht="18" customHeight="1">
      <c r="A15" s="841"/>
      <c r="B15" s="958"/>
      <c r="C15" s="846"/>
      <c r="D15" s="843"/>
      <c r="E15" s="853"/>
      <c r="F15" s="853"/>
      <c r="G15" s="378">
        <v>1</v>
      </c>
      <c r="H15" s="571">
        <v>1600</v>
      </c>
      <c r="I15" s="564">
        <f t="shared" si="1"/>
        <v>1600</v>
      </c>
      <c r="J15" s="942"/>
    </row>
    <row r="16" spans="1:10" s="507" customFormat="1" ht="18" customHeight="1">
      <c r="A16" s="841"/>
      <c r="B16" s="958"/>
      <c r="C16" s="846"/>
      <c r="D16" s="843"/>
      <c r="E16" s="853"/>
      <c r="F16" s="853"/>
      <c r="G16" s="378">
        <v>30</v>
      </c>
      <c r="H16" s="571">
        <v>800</v>
      </c>
      <c r="I16" s="564">
        <f t="shared" si="1"/>
        <v>24000</v>
      </c>
      <c r="J16" s="942"/>
    </row>
    <row r="17" spans="1:10" s="507" customFormat="1" ht="18" customHeight="1">
      <c r="A17" s="841"/>
      <c r="B17" s="958"/>
      <c r="C17" s="846"/>
      <c r="D17" s="843"/>
      <c r="E17" s="853"/>
      <c r="F17" s="854"/>
      <c r="G17" s="378">
        <v>30</v>
      </c>
      <c r="H17" s="571">
        <v>50</v>
      </c>
      <c r="I17" s="564">
        <f t="shared" si="1"/>
        <v>1500</v>
      </c>
      <c r="J17" s="942"/>
    </row>
    <row r="18" spans="1:10" s="507" customFormat="1" ht="18" customHeight="1">
      <c r="A18" s="841"/>
      <c r="B18" s="958"/>
      <c r="C18" s="846"/>
      <c r="D18" s="843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42"/>
    </row>
    <row r="19" spans="1:10" s="507" customFormat="1" ht="18" customHeight="1">
      <c r="A19" s="841"/>
      <c r="B19" s="958"/>
      <c r="C19" s="846"/>
      <c r="D19" s="843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42"/>
    </row>
    <row r="20" spans="1:10" s="507" customFormat="1" ht="18" customHeight="1">
      <c r="A20" s="841"/>
      <c r="B20" s="958"/>
      <c r="C20" s="846"/>
      <c r="D20" s="843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42"/>
    </row>
    <row r="21" spans="1:10" s="507" customFormat="1" ht="18" customHeight="1">
      <c r="A21" s="841"/>
      <c r="B21" s="958"/>
      <c r="C21" s="846"/>
      <c r="D21" s="843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42"/>
    </row>
    <row r="22" spans="1:10" s="507" customFormat="1" ht="18" customHeight="1">
      <c r="A22" s="841"/>
      <c r="B22" s="958"/>
      <c r="C22" s="846"/>
      <c r="D22" s="843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42"/>
    </row>
    <row r="23" spans="1:10" s="507" customFormat="1" ht="18" customHeight="1">
      <c r="A23" s="841"/>
      <c r="B23" s="958"/>
      <c r="C23" s="846"/>
      <c r="D23" s="843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42"/>
    </row>
    <row r="24" spans="1:10" s="507" customFormat="1" ht="18" customHeight="1">
      <c r="A24" s="841"/>
      <c r="B24" s="958"/>
      <c r="C24" s="846"/>
      <c r="D24" s="843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42"/>
    </row>
    <row r="25" spans="1:10" s="507" customFormat="1" ht="18" customHeight="1">
      <c r="A25" s="841"/>
      <c r="B25" s="958"/>
      <c r="C25" s="846"/>
      <c r="D25" s="843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42"/>
    </row>
    <row r="26" spans="1:10" s="507" customFormat="1" ht="18" customHeight="1">
      <c r="A26" s="841"/>
      <c r="B26" s="958"/>
      <c r="C26" s="846"/>
      <c r="D26" s="843"/>
      <c r="E26" s="404" t="s">
        <v>534</v>
      </c>
      <c r="F26" s="404"/>
      <c r="G26" s="394"/>
      <c r="H26" s="572"/>
      <c r="I26" s="581">
        <f>SUM(I14:I25)</f>
        <v>2023604.4780000001</v>
      </c>
      <c r="J26" s="942"/>
    </row>
    <row r="27" spans="1:10" s="507" customFormat="1" ht="18" customHeight="1">
      <c r="A27" s="841"/>
      <c r="B27" s="958"/>
      <c r="C27" s="846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42"/>
    </row>
    <row r="28" spans="1:10" s="507" customFormat="1" ht="18" customHeight="1">
      <c r="A28" s="841"/>
      <c r="B28" s="958"/>
      <c r="C28" s="846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42"/>
    </row>
    <row r="29" spans="1:10" s="507" customFormat="1" ht="18" customHeight="1">
      <c r="A29" s="841"/>
      <c r="B29" s="958"/>
      <c r="C29" s="866" t="s">
        <v>1406</v>
      </c>
      <c r="D29" s="866"/>
      <c r="E29" s="866"/>
      <c r="F29" s="386"/>
      <c r="G29" s="510"/>
      <c r="H29" s="573"/>
      <c r="I29" s="582">
        <f>I28+I26+I27</f>
        <v>2815834.4780000001</v>
      </c>
      <c r="J29" s="942"/>
    </row>
    <row r="30" spans="1:10" s="507" customFormat="1" ht="18" customHeight="1">
      <c r="A30" s="841"/>
      <c r="B30" s="958"/>
      <c r="C30" s="859" t="s">
        <v>1408</v>
      </c>
      <c r="D30" s="859"/>
      <c r="E30" s="859"/>
      <c r="F30" s="505"/>
      <c r="G30" s="379"/>
      <c r="H30" s="951">
        <v>0.1</v>
      </c>
      <c r="I30" s="963">
        <f>I29*H30</f>
        <v>281583.44780000002</v>
      </c>
      <c r="J30" s="942"/>
    </row>
    <row r="31" spans="1:10" s="507" customFormat="1" ht="18" customHeight="1">
      <c r="A31" s="841"/>
      <c r="B31" s="958"/>
      <c r="C31" s="859" t="s">
        <v>1409</v>
      </c>
      <c r="D31" s="859"/>
      <c r="E31" s="859"/>
      <c r="F31" s="505"/>
      <c r="G31" s="379"/>
      <c r="H31" s="952"/>
      <c r="I31" s="964"/>
      <c r="J31" s="942"/>
    </row>
    <row r="32" spans="1:10" s="507" customFormat="1" ht="18" customHeight="1">
      <c r="A32" s="841"/>
      <c r="B32" s="958"/>
      <c r="C32" s="859" t="s">
        <v>1410</v>
      </c>
      <c r="D32" s="859"/>
      <c r="E32" s="859"/>
      <c r="F32" s="505"/>
      <c r="G32" s="379"/>
      <c r="H32" s="953"/>
      <c r="I32" s="965"/>
      <c r="J32" s="942"/>
    </row>
    <row r="33" spans="1:10" s="507" customFormat="1" ht="18" customHeight="1">
      <c r="A33" s="841"/>
      <c r="B33" s="958"/>
      <c r="C33" s="859" t="s">
        <v>1719</v>
      </c>
      <c r="D33" s="859"/>
      <c r="E33" s="859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42"/>
    </row>
    <row r="34" spans="1:10" s="507" customFormat="1" ht="18" customHeight="1">
      <c r="A34" s="841"/>
      <c r="B34" s="958"/>
      <c r="C34" s="866" t="s">
        <v>1418</v>
      </c>
      <c r="D34" s="866"/>
      <c r="E34" s="866"/>
      <c r="F34" s="505"/>
      <c r="G34" s="379"/>
      <c r="H34" s="560"/>
      <c r="I34" s="563">
        <f>I30+I33</f>
        <v>281583.44780000002</v>
      </c>
      <c r="J34" s="942"/>
    </row>
    <row r="35" spans="1:10" s="507" customFormat="1" ht="18" customHeight="1">
      <c r="A35" s="841"/>
      <c r="B35" s="958"/>
      <c r="C35" s="866" t="s">
        <v>24</v>
      </c>
      <c r="D35" s="866"/>
      <c r="E35" s="866"/>
      <c r="F35" s="505"/>
      <c r="G35" s="394"/>
      <c r="H35" s="562"/>
      <c r="I35" s="565">
        <f>I34+I29</f>
        <v>3097417.9258000003</v>
      </c>
      <c r="J35" s="942"/>
    </row>
    <row r="36" spans="1:10" s="511" customFormat="1" ht="18" customHeight="1">
      <c r="A36" s="841">
        <v>3</v>
      </c>
      <c r="B36" s="843" t="s">
        <v>1721</v>
      </c>
      <c r="C36" s="844" t="s">
        <v>1722</v>
      </c>
      <c r="D36" s="843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55">
        <f>ROUND(I45*0.8,0)</f>
        <v>507560</v>
      </c>
    </row>
    <row r="37" spans="1:10" s="511" customFormat="1" ht="18" customHeight="1">
      <c r="A37" s="841"/>
      <c r="B37" s="843"/>
      <c r="C37" s="844"/>
      <c r="D37" s="843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55"/>
    </row>
    <row r="38" spans="1:10" s="511" customFormat="1" ht="18" customHeight="1">
      <c r="A38" s="841"/>
      <c r="B38" s="843"/>
      <c r="C38" s="844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55"/>
    </row>
    <row r="39" spans="1:10" s="511" customFormat="1" ht="18" customHeight="1">
      <c r="A39" s="841"/>
      <c r="B39" s="843"/>
      <c r="C39" s="866" t="s">
        <v>1406</v>
      </c>
      <c r="D39" s="866"/>
      <c r="E39" s="866"/>
      <c r="F39" s="378"/>
      <c r="G39" s="513"/>
      <c r="H39" s="575"/>
      <c r="I39" s="580">
        <f>SUM(I36:I38)</f>
        <v>549500</v>
      </c>
      <c r="J39" s="855"/>
    </row>
    <row r="40" spans="1:10" s="511" customFormat="1" ht="18" customHeight="1">
      <c r="A40" s="841"/>
      <c r="B40" s="843"/>
      <c r="C40" s="843" t="s">
        <v>1408</v>
      </c>
      <c r="D40" s="843"/>
      <c r="E40" s="843"/>
      <c r="F40" s="378"/>
      <c r="G40" s="389"/>
      <c r="H40" s="962">
        <v>0.1</v>
      </c>
      <c r="I40" s="963">
        <f>I39*H40</f>
        <v>54950</v>
      </c>
      <c r="J40" s="855"/>
    </row>
    <row r="41" spans="1:10" s="511" customFormat="1" ht="18" customHeight="1">
      <c r="A41" s="841"/>
      <c r="B41" s="843"/>
      <c r="C41" s="843" t="s">
        <v>1409</v>
      </c>
      <c r="D41" s="843"/>
      <c r="E41" s="843"/>
      <c r="F41" s="378"/>
      <c r="G41" s="389"/>
      <c r="H41" s="962"/>
      <c r="I41" s="964"/>
      <c r="J41" s="855"/>
    </row>
    <row r="42" spans="1:10" s="511" customFormat="1" ht="18" customHeight="1">
      <c r="A42" s="841"/>
      <c r="B42" s="843"/>
      <c r="C42" s="843" t="s">
        <v>1410</v>
      </c>
      <c r="D42" s="843"/>
      <c r="E42" s="843"/>
      <c r="F42" s="378"/>
      <c r="G42" s="389"/>
      <c r="H42" s="962"/>
      <c r="I42" s="965"/>
      <c r="J42" s="855"/>
    </row>
    <row r="43" spans="1:10" s="511" customFormat="1" ht="18" customHeight="1">
      <c r="A43" s="841"/>
      <c r="B43" s="843"/>
      <c r="C43" s="843" t="s">
        <v>1725</v>
      </c>
      <c r="D43" s="843"/>
      <c r="E43" s="843"/>
      <c r="F43" s="378"/>
      <c r="G43" s="389"/>
      <c r="H43" s="576"/>
      <c r="I43" s="384">
        <v>30000</v>
      </c>
      <c r="J43" s="855"/>
    </row>
    <row r="44" spans="1:10" s="511" customFormat="1" ht="18" customHeight="1">
      <c r="A44" s="841"/>
      <c r="B44" s="843"/>
      <c r="C44" s="866" t="s">
        <v>1418</v>
      </c>
      <c r="D44" s="866"/>
      <c r="E44" s="866"/>
      <c r="F44" s="505"/>
      <c r="G44" s="379"/>
      <c r="H44" s="560"/>
      <c r="I44" s="565">
        <f>SUM(I40:I43)</f>
        <v>84950</v>
      </c>
      <c r="J44" s="855"/>
    </row>
    <row r="45" spans="1:10" s="511" customFormat="1" ht="18" customHeight="1">
      <c r="A45" s="841"/>
      <c r="B45" s="843"/>
      <c r="C45" s="866" t="s">
        <v>24</v>
      </c>
      <c r="D45" s="866"/>
      <c r="E45" s="866"/>
      <c r="F45" s="378"/>
      <c r="G45" s="386"/>
      <c r="H45" s="574"/>
      <c r="I45" s="580">
        <f>I39+I44</f>
        <v>634450</v>
      </c>
      <c r="J45" s="855"/>
    </row>
    <row r="46" spans="1:10" s="511" customFormat="1" ht="18" customHeight="1">
      <c r="A46" s="841">
        <v>4</v>
      </c>
      <c r="B46" s="843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55">
        <f>ROUND(I52*0.8,0)</f>
        <v>789760</v>
      </c>
    </row>
    <row r="47" spans="1:10" s="511" customFormat="1" ht="18" customHeight="1">
      <c r="A47" s="841"/>
      <c r="B47" s="843"/>
      <c r="C47" s="866" t="s">
        <v>1406</v>
      </c>
      <c r="D47" s="866"/>
      <c r="E47" s="866"/>
      <c r="F47" s="378"/>
      <c r="G47" s="513"/>
      <c r="H47" s="575"/>
      <c r="I47" s="580">
        <f>SUM(I46:I46)</f>
        <v>899000</v>
      </c>
      <c r="J47" s="855"/>
    </row>
    <row r="48" spans="1:10" s="511" customFormat="1" ht="18" customHeight="1">
      <c r="A48" s="841"/>
      <c r="B48" s="843"/>
      <c r="C48" s="843" t="s">
        <v>1408</v>
      </c>
      <c r="D48" s="843"/>
      <c r="E48" s="843"/>
      <c r="F48" s="378"/>
      <c r="G48" s="386"/>
      <c r="H48" s="558"/>
      <c r="I48" s="583">
        <v>9300</v>
      </c>
      <c r="J48" s="855"/>
    </row>
    <row r="49" spans="1:10" s="511" customFormat="1" ht="18" customHeight="1">
      <c r="A49" s="841"/>
      <c r="B49" s="843"/>
      <c r="C49" s="843" t="s">
        <v>1409</v>
      </c>
      <c r="D49" s="843"/>
      <c r="E49" s="843"/>
      <c r="F49" s="378"/>
      <c r="G49" s="386"/>
      <c r="H49" s="577"/>
      <c r="I49" s="583">
        <v>41700</v>
      </c>
      <c r="J49" s="855"/>
    </row>
    <row r="50" spans="1:10" s="511" customFormat="1" ht="18" customHeight="1">
      <c r="A50" s="841"/>
      <c r="B50" s="843"/>
      <c r="C50" s="843" t="s">
        <v>1410</v>
      </c>
      <c r="D50" s="843"/>
      <c r="E50" s="843"/>
      <c r="F50" s="378"/>
      <c r="G50" s="386"/>
      <c r="H50" s="577"/>
      <c r="I50" s="583">
        <v>37200</v>
      </c>
      <c r="J50" s="855"/>
    </row>
    <row r="51" spans="1:10" s="511" customFormat="1" ht="18" customHeight="1">
      <c r="A51" s="841"/>
      <c r="B51" s="843"/>
      <c r="C51" s="866" t="s">
        <v>1418</v>
      </c>
      <c r="D51" s="866"/>
      <c r="E51" s="866"/>
      <c r="F51" s="505"/>
      <c r="G51" s="379"/>
      <c r="H51" s="560"/>
      <c r="I51" s="565">
        <f>SUM(I48:I50)</f>
        <v>88200</v>
      </c>
      <c r="J51" s="855"/>
    </row>
    <row r="52" spans="1:10" s="511" customFormat="1" ht="18" customHeight="1">
      <c r="A52" s="960"/>
      <c r="B52" s="852"/>
      <c r="C52" s="961" t="s">
        <v>24</v>
      </c>
      <c r="D52" s="961"/>
      <c r="E52" s="961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55"/>
    </row>
    <row r="53" spans="1:10" ht="18" customHeight="1">
      <c r="A53" s="515"/>
      <c r="B53" s="515"/>
      <c r="C53" s="966" t="s">
        <v>1540</v>
      </c>
      <c r="D53" s="966"/>
      <c r="E53" s="966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72" t="s">
        <v>1727</v>
      </c>
      <c r="B1" s="972"/>
      <c r="C1" s="972"/>
      <c r="D1" s="972"/>
      <c r="E1" s="972"/>
      <c r="F1" s="972"/>
      <c r="G1" s="973"/>
      <c r="H1" s="973"/>
      <c r="I1" s="973"/>
      <c r="J1" s="973"/>
      <c r="K1" s="974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67">
        <v>1</v>
      </c>
      <c r="B3" s="967" t="s">
        <v>267</v>
      </c>
      <c r="C3" s="967" t="s">
        <v>1728</v>
      </c>
      <c r="D3" s="968" t="s">
        <v>1722</v>
      </c>
      <c r="E3" s="969" t="s">
        <v>1729</v>
      </c>
      <c r="F3" s="976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43">
        <f>ROUND(J9*0.8,0)</f>
        <v>506099</v>
      </c>
    </row>
    <row r="4" spans="1:11" s="520" customFormat="1" ht="18" customHeight="1">
      <c r="A4" s="967"/>
      <c r="B4" s="967"/>
      <c r="C4" s="967"/>
      <c r="D4" s="968"/>
      <c r="E4" s="969"/>
      <c r="F4" s="976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49"/>
    </row>
    <row r="5" spans="1:11" ht="18" customHeight="1">
      <c r="A5" s="967"/>
      <c r="B5" s="967"/>
      <c r="C5" s="967"/>
      <c r="D5" s="968"/>
      <c r="E5" s="969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49"/>
    </row>
    <row r="6" spans="1:11" ht="18" customHeight="1">
      <c r="A6" s="967"/>
      <c r="B6" s="967"/>
      <c r="C6" s="967"/>
      <c r="D6" s="968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49"/>
    </row>
    <row r="7" spans="1:11" s="525" customFormat="1" ht="18" customHeight="1">
      <c r="A7" s="967"/>
      <c r="B7" s="967"/>
      <c r="C7" s="967"/>
      <c r="D7" s="968"/>
      <c r="E7" s="970" t="s">
        <v>1424</v>
      </c>
      <c r="F7" s="970"/>
      <c r="G7" s="523"/>
      <c r="H7" s="524"/>
      <c r="I7" s="524"/>
      <c r="J7" s="535">
        <f>SUM(J3:J6)</f>
        <v>547840</v>
      </c>
      <c r="K7" s="949"/>
    </row>
    <row r="8" spans="1:11" s="525" customFormat="1" ht="18" customHeight="1">
      <c r="A8" s="967"/>
      <c r="B8" s="967"/>
      <c r="C8" s="967"/>
      <c r="D8" s="968"/>
      <c r="E8" s="970" t="s">
        <v>1603</v>
      </c>
      <c r="F8" s="970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49"/>
    </row>
    <row r="9" spans="1:11" s="525" customFormat="1" ht="18" customHeight="1">
      <c r="A9" s="967"/>
      <c r="B9" s="967"/>
      <c r="C9" s="967"/>
      <c r="D9" s="968"/>
      <c r="E9" s="970" t="s">
        <v>1428</v>
      </c>
      <c r="F9" s="970"/>
      <c r="G9" s="523"/>
      <c r="H9" s="524"/>
      <c r="I9" s="524"/>
      <c r="J9" s="532">
        <f>J7+J8</f>
        <v>632624</v>
      </c>
      <c r="K9" s="949"/>
    </row>
    <row r="10" spans="1:11" ht="18" customHeight="1">
      <c r="A10" s="967">
        <v>2</v>
      </c>
      <c r="B10" s="967" t="s">
        <v>376</v>
      </c>
      <c r="C10" s="967" t="s">
        <v>1734</v>
      </c>
      <c r="D10" s="968" t="s">
        <v>1369</v>
      </c>
      <c r="E10" s="967" t="s">
        <v>1735</v>
      </c>
      <c r="F10" s="971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43">
        <f>ROUND(J26*0.8,0)</f>
        <v>1564939</v>
      </c>
    </row>
    <row r="11" spans="1:11" ht="18" customHeight="1">
      <c r="A11" s="967"/>
      <c r="B11" s="967"/>
      <c r="C11" s="967"/>
      <c r="D11" s="968"/>
      <c r="E11" s="967"/>
      <c r="F11" s="971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49"/>
    </row>
    <row r="12" spans="1:11" ht="18" customHeight="1">
      <c r="A12" s="967"/>
      <c r="B12" s="967"/>
      <c r="C12" s="967"/>
      <c r="D12" s="968"/>
      <c r="E12" s="967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49"/>
    </row>
    <row r="13" spans="1:11" ht="18" customHeight="1">
      <c r="A13" s="967"/>
      <c r="B13" s="967"/>
      <c r="C13" s="967"/>
      <c r="D13" s="968"/>
      <c r="E13" s="967" t="s">
        <v>1738</v>
      </c>
      <c r="F13" s="971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49"/>
    </row>
    <row r="14" spans="1:11" ht="18" customHeight="1">
      <c r="A14" s="967"/>
      <c r="B14" s="967"/>
      <c r="C14" s="967"/>
      <c r="D14" s="968"/>
      <c r="E14" s="967"/>
      <c r="F14" s="971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49"/>
    </row>
    <row r="15" spans="1:11" ht="18" customHeight="1">
      <c r="A15" s="967"/>
      <c r="B15" s="967"/>
      <c r="C15" s="967"/>
      <c r="D15" s="968"/>
      <c r="E15" s="967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49"/>
    </row>
    <row r="16" spans="1:11" ht="18" customHeight="1">
      <c r="A16" s="967"/>
      <c r="B16" s="967"/>
      <c r="C16" s="967"/>
      <c r="D16" s="968"/>
      <c r="E16" s="967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49"/>
    </row>
    <row r="17" spans="1:11" ht="18" customHeight="1">
      <c r="A17" s="967"/>
      <c r="B17" s="967"/>
      <c r="C17" s="967"/>
      <c r="D17" s="968"/>
      <c r="E17" s="967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49"/>
    </row>
    <row r="18" spans="1:11" ht="18" customHeight="1">
      <c r="A18" s="967"/>
      <c r="B18" s="967"/>
      <c r="C18" s="967"/>
      <c r="D18" s="968"/>
      <c r="E18" s="967" t="s">
        <v>1743</v>
      </c>
      <c r="F18" s="971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49"/>
    </row>
    <row r="19" spans="1:11" ht="18" customHeight="1">
      <c r="A19" s="967"/>
      <c r="B19" s="967"/>
      <c r="C19" s="967"/>
      <c r="D19" s="968"/>
      <c r="E19" s="967"/>
      <c r="F19" s="971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49"/>
    </row>
    <row r="20" spans="1:11" ht="18" customHeight="1">
      <c r="A20" s="967"/>
      <c r="B20" s="967"/>
      <c r="C20" s="967"/>
      <c r="D20" s="968"/>
      <c r="E20" s="967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49"/>
    </row>
    <row r="21" spans="1:11" ht="18" customHeight="1">
      <c r="A21" s="967"/>
      <c r="B21" s="967"/>
      <c r="C21" s="967"/>
      <c r="D21" s="968"/>
      <c r="E21" s="967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49"/>
    </row>
    <row r="22" spans="1:11" ht="18" customHeight="1">
      <c r="A22" s="967"/>
      <c r="B22" s="967"/>
      <c r="C22" s="967"/>
      <c r="D22" s="968"/>
      <c r="E22" s="967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49"/>
    </row>
    <row r="23" spans="1:11" ht="18" customHeight="1">
      <c r="A23" s="967"/>
      <c r="B23" s="967"/>
      <c r="C23" s="967"/>
      <c r="D23" s="968"/>
      <c r="E23" s="967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49"/>
    </row>
    <row r="24" spans="1:11" s="525" customFormat="1" ht="18" customHeight="1">
      <c r="A24" s="967"/>
      <c r="B24" s="967"/>
      <c r="C24" s="967"/>
      <c r="D24" s="968"/>
      <c r="E24" s="970" t="s">
        <v>1424</v>
      </c>
      <c r="F24" s="970"/>
      <c r="G24" s="523"/>
      <c r="H24" s="524"/>
      <c r="I24" s="524"/>
      <c r="J24" s="532">
        <f>SUM(J10:J23)</f>
        <v>1714704</v>
      </c>
      <c r="K24" s="949"/>
    </row>
    <row r="25" spans="1:11" s="525" customFormat="1" ht="18" customHeight="1">
      <c r="A25" s="967"/>
      <c r="B25" s="967"/>
      <c r="C25" s="967"/>
      <c r="D25" s="968"/>
      <c r="E25" s="970" t="s">
        <v>1603</v>
      </c>
      <c r="F25" s="970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49"/>
    </row>
    <row r="26" spans="1:11" s="525" customFormat="1" ht="18" customHeight="1">
      <c r="A26" s="967"/>
      <c r="B26" s="967"/>
      <c r="C26" s="967"/>
      <c r="D26" s="968"/>
      <c r="E26" s="970" t="s">
        <v>1428</v>
      </c>
      <c r="F26" s="970"/>
      <c r="G26" s="523"/>
      <c r="H26" s="524"/>
      <c r="I26" s="524"/>
      <c r="J26" s="532">
        <f>J24+J25</f>
        <v>1956174</v>
      </c>
      <c r="K26" s="949"/>
    </row>
    <row r="27" spans="1:11" ht="18" customHeight="1">
      <c r="A27" s="967">
        <v>3</v>
      </c>
      <c r="B27" s="967" t="s">
        <v>1749</v>
      </c>
      <c r="C27" s="967" t="s">
        <v>1750</v>
      </c>
      <c r="D27" s="968" t="s">
        <v>1369</v>
      </c>
      <c r="E27" s="967" t="s">
        <v>1614</v>
      </c>
      <c r="F27" s="971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43">
        <f>ROUND(J31*0.8,0)</f>
        <v>565485</v>
      </c>
    </row>
    <row r="28" spans="1:11" ht="18" customHeight="1">
      <c r="A28" s="967"/>
      <c r="B28" s="967"/>
      <c r="C28" s="967"/>
      <c r="D28" s="968"/>
      <c r="E28" s="967"/>
      <c r="F28" s="971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49"/>
    </row>
    <row r="29" spans="1:11" s="525" customFormat="1" ht="18" customHeight="1">
      <c r="A29" s="967"/>
      <c r="B29" s="967"/>
      <c r="C29" s="967"/>
      <c r="D29" s="968"/>
      <c r="E29" s="970" t="s">
        <v>1424</v>
      </c>
      <c r="F29" s="970"/>
      <c r="G29" s="523"/>
      <c r="H29" s="524"/>
      <c r="I29" s="524"/>
      <c r="J29" s="532">
        <f>SUM(J27:J28)</f>
        <v>615324</v>
      </c>
      <c r="K29" s="949"/>
    </row>
    <row r="30" spans="1:11" s="525" customFormat="1" ht="18" customHeight="1">
      <c r="A30" s="967"/>
      <c r="B30" s="967"/>
      <c r="C30" s="967"/>
      <c r="D30" s="968"/>
      <c r="E30" s="970" t="s">
        <v>1603</v>
      </c>
      <c r="F30" s="970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49"/>
    </row>
    <row r="31" spans="1:11" s="525" customFormat="1" ht="18" customHeight="1">
      <c r="A31" s="967"/>
      <c r="B31" s="967"/>
      <c r="C31" s="967"/>
      <c r="D31" s="968"/>
      <c r="E31" s="970" t="s">
        <v>1428</v>
      </c>
      <c r="F31" s="970"/>
      <c r="G31" s="523"/>
      <c r="H31" s="524"/>
      <c r="I31" s="524"/>
      <c r="J31" s="532">
        <f>J29+J30</f>
        <v>706856</v>
      </c>
      <c r="K31" s="949"/>
    </row>
    <row r="32" spans="1:11" ht="18" customHeight="1">
      <c r="A32" s="967">
        <v>4</v>
      </c>
      <c r="B32" s="967" t="s">
        <v>1751</v>
      </c>
      <c r="C32" s="967" t="s">
        <v>1752</v>
      </c>
      <c r="D32" s="968" t="s">
        <v>1369</v>
      </c>
      <c r="E32" s="967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43">
        <f>ROUND(J40*0.8,0)</f>
        <v>330806</v>
      </c>
    </row>
    <row r="33" spans="1:11" ht="18" customHeight="1">
      <c r="A33" s="967"/>
      <c r="B33" s="967"/>
      <c r="C33" s="967"/>
      <c r="D33" s="968"/>
      <c r="E33" s="967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43"/>
    </row>
    <row r="34" spans="1:11" ht="18" customHeight="1">
      <c r="A34" s="967"/>
      <c r="B34" s="967"/>
      <c r="C34" s="967"/>
      <c r="D34" s="968"/>
      <c r="E34" s="967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43"/>
    </row>
    <row r="35" spans="1:11" ht="18" customHeight="1">
      <c r="A35" s="967"/>
      <c r="B35" s="967"/>
      <c r="C35" s="967"/>
      <c r="D35" s="968"/>
      <c r="E35" s="967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43"/>
    </row>
    <row r="36" spans="1:11" ht="18" customHeight="1">
      <c r="A36" s="967"/>
      <c r="B36" s="967"/>
      <c r="C36" s="967"/>
      <c r="D36" s="968"/>
      <c r="E36" s="967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43"/>
    </row>
    <row r="37" spans="1:11" ht="18" customHeight="1">
      <c r="A37" s="967"/>
      <c r="B37" s="967"/>
      <c r="C37" s="967"/>
      <c r="D37" s="968"/>
      <c r="E37" s="967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43"/>
    </row>
    <row r="38" spans="1:11" ht="18" customHeight="1">
      <c r="A38" s="967"/>
      <c r="B38" s="967"/>
      <c r="C38" s="967"/>
      <c r="D38" s="968"/>
      <c r="E38" s="970" t="s">
        <v>1424</v>
      </c>
      <c r="F38" s="970"/>
      <c r="G38" s="528"/>
      <c r="H38" s="526"/>
      <c r="I38" s="526"/>
      <c r="J38" s="535">
        <f>SUM(J32:J37)</f>
        <v>375916</v>
      </c>
      <c r="K38" s="943"/>
    </row>
    <row r="39" spans="1:11" ht="18" customHeight="1">
      <c r="A39" s="967"/>
      <c r="B39" s="967"/>
      <c r="C39" s="967"/>
      <c r="D39" s="968"/>
      <c r="E39" s="970" t="s">
        <v>1603</v>
      </c>
      <c r="F39" s="970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43"/>
    </row>
    <row r="40" spans="1:11" ht="18" customHeight="1">
      <c r="A40" s="967"/>
      <c r="B40" s="967"/>
      <c r="C40" s="967"/>
      <c r="D40" s="968"/>
      <c r="E40" s="970" t="s">
        <v>1428</v>
      </c>
      <c r="F40" s="970"/>
      <c r="G40" s="528"/>
      <c r="H40" s="526"/>
      <c r="I40" s="526"/>
      <c r="J40" s="535">
        <f>J38+J39</f>
        <v>413508</v>
      </c>
      <c r="K40" s="943"/>
    </row>
    <row r="41" spans="1:11" ht="18" customHeight="1">
      <c r="A41" s="538"/>
      <c r="B41" s="538"/>
      <c r="C41" s="538"/>
      <c r="D41" s="538"/>
      <c r="E41" s="943" t="s">
        <v>1540</v>
      </c>
      <c r="F41" s="975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77" t="s">
        <v>1802</v>
      </c>
      <c r="B1" s="978"/>
      <c r="C1" s="978"/>
      <c r="D1" s="978"/>
      <c r="E1" s="978"/>
      <c r="F1" s="978"/>
      <c r="G1" s="978"/>
      <c r="H1" s="978"/>
      <c r="I1" s="978"/>
      <c r="J1" s="978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79" t="s">
        <v>764</v>
      </c>
      <c r="B1" s="980"/>
      <c r="C1" s="980"/>
      <c r="D1" s="980"/>
      <c r="E1" s="980"/>
      <c r="F1" s="980"/>
      <c r="G1" s="980"/>
      <c r="H1" s="980"/>
      <c r="I1" s="980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81" t="s">
        <v>873</v>
      </c>
      <c r="B1" s="981"/>
      <c r="C1" s="981"/>
      <c r="D1" s="981"/>
      <c r="E1" s="981"/>
      <c r="F1" s="981"/>
      <c r="G1" s="981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82" t="s">
        <v>927</v>
      </c>
      <c r="B1" s="983"/>
      <c r="C1" s="983"/>
      <c r="D1" s="983"/>
      <c r="E1" s="983"/>
      <c r="F1" s="983"/>
      <c r="G1" s="983"/>
      <c r="H1" s="983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84" t="s">
        <v>946</v>
      </c>
      <c r="B7" s="987" t="s">
        <v>947</v>
      </c>
      <c r="C7" s="987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985" t="s">
        <v>946</v>
      </c>
      <c r="B8" s="988" t="s">
        <v>947</v>
      </c>
      <c r="C8" s="988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85" t="s">
        <v>946</v>
      </c>
      <c r="B9" s="988" t="s">
        <v>947</v>
      </c>
      <c r="C9" s="988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86" t="s">
        <v>946</v>
      </c>
      <c r="B10" s="989" t="s">
        <v>947</v>
      </c>
      <c r="C10" s="989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84" t="s">
        <v>961</v>
      </c>
      <c r="B18" s="987" t="s">
        <v>962</v>
      </c>
      <c r="C18" s="987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986" t="s">
        <v>961</v>
      </c>
      <c r="B19" s="989" t="s">
        <v>962</v>
      </c>
      <c r="C19" s="989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92" t="s">
        <v>970</v>
      </c>
      <c r="B24" s="993" t="s">
        <v>971</v>
      </c>
      <c r="C24" s="993" t="s">
        <v>937</v>
      </c>
      <c r="D24" s="993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90" t="s">
        <v>940</v>
      </c>
      <c r="J24" s="257"/>
    </row>
    <row r="25" spans="1:10" s="244" customFormat="1" ht="20.100000000000001" customHeight="1">
      <c r="A25" s="986" t="s">
        <v>970</v>
      </c>
      <c r="B25" s="989" t="s">
        <v>971</v>
      </c>
      <c r="C25" s="989"/>
      <c r="D25" s="989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91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984" t="s">
        <v>551</v>
      </c>
      <c r="B27" s="987" t="s">
        <v>971</v>
      </c>
      <c r="C27" s="987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984">
        <v>500000</v>
      </c>
      <c r="I27" s="258" t="s">
        <v>935</v>
      </c>
      <c r="J27" s="251"/>
    </row>
    <row r="28" spans="1:10" s="244" customFormat="1" ht="20.100000000000001" customHeight="1">
      <c r="A28" s="985"/>
      <c r="B28" s="988" t="s">
        <v>971</v>
      </c>
      <c r="C28" s="988"/>
      <c r="D28" s="241" t="s">
        <v>979</v>
      </c>
      <c r="E28" s="241" t="s">
        <v>980</v>
      </c>
      <c r="F28" s="240">
        <v>1</v>
      </c>
      <c r="G28" s="240">
        <v>350000</v>
      </c>
      <c r="H28" s="994"/>
      <c r="I28" s="259"/>
      <c r="J28" s="251"/>
    </row>
    <row r="29" spans="1:10" s="244" customFormat="1" ht="20.100000000000001" customHeight="1">
      <c r="A29" s="985"/>
      <c r="B29" s="988" t="s">
        <v>971</v>
      </c>
      <c r="C29" s="988"/>
      <c r="D29" s="241" t="s">
        <v>981</v>
      </c>
      <c r="E29" s="241" t="s">
        <v>982</v>
      </c>
      <c r="F29" s="240">
        <v>1</v>
      </c>
      <c r="G29" s="240">
        <v>202500</v>
      </c>
      <c r="H29" s="994"/>
      <c r="I29" s="259"/>
      <c r="J29" s="251"/>
    </row>
    <row r="30" spans="1:10" s="244" customFormat="1" ht="20.100000000000001" customHeight="1">
      <c r="A30" s="986"/>
      <c r="B30" s="989" t="s">
        <v>971</v>
      </c>
      <c r="C30" s="989"/>
      <c r="D30" s="241" t="s">
        <v>983</v>
      </c>
      <c r="E30" s="241" t="s">
        <v>984</v>
      </c>
      <c r="F30" s="240">
        <v>1</v>
      </c>
      <c r="G30" s="240">
        <v>300000</v>
      </c>
      <c r="H30" s="813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84" t="s">
        <v>986</v>
      </c>
      <c r="B33" s="987" t="s">
        <v>987</v>
      </c>
      <c r="C33" s="987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985" t="s">
        <v>986</v>
      </c>
      <c r="B34" s="988" t="s">
        <v>987</v>
      </c>
      <c r="C34" s="988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86" t="s">
        <v>986</v>
      </c>
      <c r="B35" s="989" t="s">
        <v>987</v>
      </c>
      <c r="C35" s="989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84" t="s">
        <v>993</v>
      </c>
      <c r="B40" s="987" t="s">
        <v>994</v>
      </c>
      <c r="C40" s="987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985" t="s">
        <v>993</v>
      </c>
      <c r="B41" s="988" t="s">
        <v>994</v>
      </c>
      <c r="C41" s="988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85" t="s">
        <v>993</v>
      </c>
      <c r="B42" s="988" t="s">
        <v>994</v>
      </c>
      <c r="C42" s="988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85" t="s">
        <v>993</v>
      </c>
      <c r="B43" s="988" t="s">
        <v>994</v>
      </c>
      <c r="C43" s="988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85" t="s">
        <v>993</v>
      </c>
      <c r="B44" s="988" t="s">
        <v>994</v>
      </c>
      <c r="C44" s="988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86" t="s">
        <v>993</v>
      </c>
      <c r="B45" s="989" t="s">
        <v>994</v>
      </c>
      <c r="C45" s="989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992" t="s">
        <v>1007</v>
      </c>
      <c r="B48" s="987" t="s">
        <v>1008</v>
      </c>
      <c r="C48" s="987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94"/>
      <c r="B49" s="988" t="s">
        <v>1008</v>
      </c>
      <c r="C49" s="988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94"/>
      <c r="B50" s="988" t="s">
        <v>1008</v>
      </c>
      <c r="C50" s="988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13"/>
      <c r="B51" s="989" t="s">
        <v>1008</v>
      </c>
      <c r="C51" s="989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95" t="s">
        <v>688</v>
      </c>
      <c r="B1" s="995"/>
      <c r="C1" s="995"/>
      <c r="D1" s="995"/>
      <c r="E1" s="995"/>
      <c r="F1" s="995"/>
      <c r="G1" s="995"/>
      <c r="H1" s="995"/>
      <c r="I1" s="995"/>
      <c r="J1" s="995"/>
      <c r="K1" s="995"/>
      <c r="L1" s="995"/>
      <c r="M1" s="995"/>
      <c r="N1" s="995"/>
      <c r="O1" s="995"/>
      <c r="P1" s="995"/>
      <c r="Q1" s="995"/>
      <c r="R1" s="995"/>
      <c r="S1" s="995"/>
      <c r="T1" s="995"/>
      <c r="U1" s="995"/>
      <c r="V1" s="995"/>
      <c r="W1" s="995"/>
      <c r="X1" s="995"/>
      <c r="Y1" s="995"/>
      <c r="Z1" s="995"/>
      <c r="AA1" s="995"/>
      <c r="AB1" s="995"/>
      <c r="AC1" s="995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96" t="s">
        <v>1025</v>
      </c>
      <c r="B1" s="996"/>
      <c r="C1" s="996"/>
      <c r="D1" s="996"/>
      <c r="E1" s="996"/>
      <c r="F1" s="996"/>
      <c r="G1" s="996"/>
      <c r="H1" s="996"/>
      <c r="I1" s="996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97" t="s">
        <v>1326</v>
      </c>
      <c r="B1" s="998"/>
      <c r="C1" s="998"/>
      <c r="D1" s="998"/>
      <c r="E1" s="998"/>
      <c r="F1" s="998"/>
      <c r="G1" s="998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1000" t="s">
        <v>1328</v>
      </c>
      <c r="B1" s="978"/>
      <c r="C1" s="978"/>
      <c r="D1" s="978"/>
      <c r="E1" s="978"/>
      <c r="F1" s="978"/>
      <c r="G1" s="978"/>
      <c r="H1" s="978"/>
      <c r="I1" s="978"/>
      <c r="J1" s="978"/>
      <c r="K1" s="978"/>
      <c r="L1" s="978"/>
      <c r="M1" s="978"/>
      <c r="N1" s="978"/>
      <c r="O1" s="978"/>
      <c r="P1" s="978"/>
      <c r="Q1" s="978"/>
      <c r="R1" s="978"/>
      <c r="S1" s="978"/>
      <c r="T1" s="978"/>
      <c r="U1" s="978"/>
      <c r="V1" s="978"/>
      <c r="W1" s="978"/>
      <c r="X1" s="978"/>
      <c r="Y1" s="978"/>
      <c r="Z1" s="978"/>
      <c r="AA1" s="978"/>
      <c r="AB1" s="978"/>
      <c r="AC1" s="978"/>
      <c r="AD1" s="978"/>
      <c r="AE1" s="978"/>
      <c r="AF1" s="978"/>
      <c r="AG1" s="978"/>
      <c r="AH1" s="978"/>
      <c r="AI1" s="978"/>
      <c r="AJ1" s="978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1001" t="s">
        <v>1336</v>
      </c>
      <c r="J2" s="1001"/>
      <c r="K2" s="1001"/>
      <c r="L2" s="1001" t="s">
        <v>1337</v>
      </c>
      <c r="M2" s="1001"/>
      <c r="N2" s="1001"/>
      <c r="O2" s="1001" t="s">
        <v>1338</v>
      </c>
      <c r="P2" s="1001"/>
      <c r="Q2" s="1001"/>
      <c r="R2" s="1001" t="s">
        <v>1339</v>
      </c>
      <c r="S2" s="1001"/>
      <c r="T2" s="1001"/>
      <c r="U2" s="1001" t="s">
        <v>1340</v>
      </c>
      <c r="V2" s="1001"/>
      <c r="W2" s="1001"/>
      <c r="X2" s="1001" t="s">
        <v>1341</v>
      </c>
      <c r="Y2" s="1001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99" t="s">
        <v>1360</v>
      </c>
      <c r="T45" s="999"/>
      <c r="U45" s="999"/>
      <c r="V45" s="999"/>
      <c r="W45" s="999"/>
      <c r="X45" s="999"/>
      <c r="Y45" s="999"/>
    </row>
    <row r="46" spans="1:36">
      <c r="S46" s="999">
        <v>42984</v>
      </c>
      <c r="T46" s="999"/>
      <c r="U46" s="999"/>
      <c r="V46" s="999"/>
      <c r="W46" s="999"/>
      <c r="X46" s="999"/>
      <c r="Y46" s="999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1002" t="s">
        <v>1841</v>
      </c>
      <c r="B1" s="1002"/>
      <c r="C1" s="1002"/>
      <c r="D1" s="1002"/>
      <c r="E1" s="1002"/>
      <c r="F1" s="1002"/>
      <c r="G1" s="1002"/>
      <c r="H1" s="1002"/>
      <c r="I1" s="1002"/>
      <c r="J1" s="1003"/>
      <c r="K1" s="1003"/>
      <c r="L1" s="1003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1004" t="s">
        <v>1842</v>
      </c>
      <c r="B1" s="1005"/>
      <c r="C1" s="1005"/>
      <c r="D1" s="1005"/>
      <c r="E1" s="1005"/>
      <c r="F1" s="1005"/>
      <c r="G1" s="1006"/>
      <c r="H1" s="1005"/>
      <c r="I1" s="1006"/>
      <c r="J1" s="1005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1007" t="s">
        <v>2165</v>
      </c>
      <c r="B1" s="1007"/>
      <c r="C1" s="1007"/>
      <c r="D1" s="1007"/>
      <c r="E1" s="1007"/>
      <c r="F1" s="1007"/>
      <c r="G1" s="1007"/>
      <c r="H1" s="1007"/>
      <c r="I1" s="1007"/>
      <c r="J1" s="1007"/>
      <c r="K1" s="1007"/>
      <c r="L1" s="1007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36" t="s">
        <v>1910</v>
      </c>
      <c r="B1" s="1036"/>
      <c r="C1" s="1036"/>
      <c r="D1" s="1036"/>
      <c r="E1" s="1036"/>
      <c r="F1" s="1036"/>
      <c r="G1" s="1036"/>
      <c r="H1" s="1036"/>
      <c r="I1" s="1036"/>
      <c r="J1" s="1036"/>
      <c r="K1" s="1037"/>
    </row>
    <row r="2" spans="1:11" ht="20.100000000000001" customHeight="1">
      <c r="A2" s="1038" t="s">
        <v>2</v>
      </c>
      <c r="B2" s="1039" t="s">
        <v>1589</v>
      </c>
      <c r="C2" s="1038" t="s">
        <v>1419</v>
      </c>
      <c r="D2" s="1038"/>
      <c r="E2" s="1038" t="s">
        <v>1365</v>
      </c>
      <c r="F2" s="1038"/>
      <c r="G2" s="1041" t="s">
        <v>1911</v>
      </c>
      <c r="H2" s="1041"/>
      <c r="I2" s="1041"/>
      <c r="J2" s="1041"/>
      <c r="K2" s="1042" t="s">
        <v>1912</v>
      </c>
    </row>
    <row r="3" spans="1:11" ht="20.100000000000001" customHeight="1">
      <c r="A3" s="1038"/>
      <c r="B3" s="1040"/>
      <c r="C3" s="1038"/>
      <c r="D3" s="1038"/>
      <c r="E3" s="1038"/>
      <c r="F3" s="1038"/>
      <c r="G3" s="640" t="s">
        <v>533</v>
      </c>
      <c r="H3" s="641" t="s">
        <v>1366</v>
      </c>
      <c r="I3" s="641" t="s">
        <v>695</v>
      </c>
      <c r="J3" s="641" t="s">
        <v>696</v>
      </c>
      <c r="K3" s="1043"/>
    </row>
    <row r="4" spans="1:11" s="649" customFormat="1" ht="20.100000000000001" customHeight="1">
      <c r="A4" s="1011" t="s">
        <v>1913</v>
      </c>
      <c r="B4" s="1030" t="s">
        <v>1914</v>
      </c>
      <c r="C4" s="1011" t="s">
        <v>1459</v>
      </c>
      <c r="D4" s="1011"/>
      <c r="E4" s="1011" t="s">
        <v>1915</v>
      </c>
      <c r="F4" s="1011"/>
      <c r="G4" s="645" t="s">
        <v>1372</v>
      </c>
      <c r="H4" s="646">
        <v>2300</v>
      </c>
      <c r="I4" s="647">
        <v>210</v>
      </c>
      <c r="J4" s="648">
        <f>H4*I4</f>
        <v>483000</v>
      </c>
      <c r="K4" s="1033">
        <f>ROUND(J192*0.8,0)</f>
        <v>4303484</v>
      </c>
    </row>
    <row r="5" spans="1:11" s="649" customFormat="1" ht="20.100000000000001" customHeight="1">
      <c r="A5" s="1011"/>
      <c r="B5" s="1031"/>
      <c r="C5" s="1011"/>
      <c r="D5" s="1011"/>
      <c r="E5" s="1011" t="s">
        <v>1916</v>
      </c>
      <c r="F5" s="1011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1034"/>
    </row>
    <row r="6" spans="1:11" s="649" customFormat="1" ht="20.100000000000001" customHeight="1">
      <c r="A6" s="1011"/>
      <c r="B6" s="1031"/>
      <c r="C6" s="1011"/>
      <c r="D6" s="1011"/>
      <c r="E6" s="1011" t="s">
        <v>1917</v>
      </c>
      <c r="F6" s="1011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1034"/>
    </row>
    <row r="7" spans="1:11" s="649" customFormat="1" ht="20.100000000000001" customHeight="1">
      <c r="A7" s="1011"/>
      <c r="B7" s="1031"/>
      <c r="C7" s="1011"/>
      <c r="D7" s="1011"/>
      <c r="E7" s="1011" t="s">
        <v>1918</v>
      </c>
      <c r="F7" s="1011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1034"/>
    </row>
    <row r="8" spans="1:11" s="649" customFormat="1" ht="20.100000000000001" customHeight="1">
      <c r="A8" s="1011"/>
      <c r="B8" s="1031"/>
      <c r="C8" s="1011"/>
      <c r="D8" s="1011"/>
      <c r="E8" s="1024" t="s">
        <v>1919</v>
      </c>
      <c r="F8" s="1025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1034"/>
    </row>
    <row r="9" spans="1:11" s="649" customFormat="1" ht="20.100000000000001" customHeight="1">
      <c r="A9" s="1011"/>
      <c r="B9" s="1031"/>
      <c r="C9" s="1011"/>
      <c r="D9" s="1011"/>
      <c r="E9" s="1028"/>
      <c r="F9" s="1029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1034"/>
    </row>
    <row r="10" spans="1:11" s="649" customFormat="1" ht="20.100000000000001" customHeight="1">
      <c r="A10" s="1011"/>
      <c r="B10" s="1031"/>
      <c r="C10" s="1011"/>
      <c r="D10" s="1011"/>
      <c r="E10" s="1011" t="s">
        <v>1920</v>
      </c>
      <c r="F10" s="1011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1034"/>
    </row>
    <row r="11" spans="1:11" s="649" customFormat="1" ht="20.100000000000001" customHeight="1">
      <c r="A11" s="1011"/>
      <c r="B11" s="1031"/>
      <c r="C11" s="1011"/>
      <c r="D11" s="1011"/>
      <c r="E11" s="1024" t="s">
        <v>1921</v>
      </c>
      <c r="F11" s="1025"/>
      <c r="G11" s="1018" t="s">
        <v>1372</v>
      </c>
      <c r="H11" s="1021">
        <v>4385</v>
      </c>
      <c r="I11" s="1044">
        <v>12.7</v>
      </c>
      <c r="J11" s="1015">
        <f t="shared" si="1"/>
        <v>55689.5</v>
      </c>
      <c r="K11" s="1034"/>
    </row>
    <row r="12" spans="1:11" s="649" customFormat="1" ht="20.100000000000001" customHeight="1">
      <c r="A12" s="1011"/>
      <c r="B12" s="1031"/>
      <c r="C12" s="1011"/>
      <c r="D12" s="1011"/>
      <c r="E12" s="1026"/>
      <c r="F12" s="1027"/>
      <c r="G12" s="1020"/>
      <c r="H12" s="1023"/>
      <c r="I12" s="1045"/>
      <c r="J12" s="1017"/>
      <c r="K12" s="1034"/>
    </row>
    <row r="13" spans="1:11" s="649" customFormat="1" ht="20.100000000000001" customHeight="1">
      <c r="A13" s="1011"/>
      <c r="B13" s="1031"/>
      <c r="C13" s="1011"/>
      <c r="D13" s="1011"/>
      <c r="E13" s="1026"/>
      <c r="F13" s="1027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1034"/>
    </row>
    <row r="14" spans="1:11" s="649" customFormat="1" ht="20.100000000000001" customHeight="1">
      <c r="A14" s="1011"/>
      <c r="B14" s="1031"/>
      <c r="C14" s="1011"/>
      <c r="D14" s="1011"/>
      <c r="E14" s="1026"/>
      <c r="F14" s="1027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1034"/>
    </row>
    <row r="15" spans="1:11" s="649" customFormat="1" ht="20.100000000000001" customHeight="1">
      <c r="A15" s="1011"/>
      <c r="B15" s="1031"/>
      <c r="C15" s="1011"/>
      <c r="D15" s="1011"/>
      <c r="E15" s="1026"/>
      <c r="F15" s="1027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1034"/>
    </row>
    <row r="16" spans="1:11" s="649" customFormat="1" ht="20.100000000000001" customHeight="1">
      <c r="A16" s="1011"/>
      <c r="B16" s="1031"/>
      <c r="C16" s="1011"/>
      <c r="D16" s="1011"/>
      <c r="E16" s="1026"/>
      <c r="F16" s="1027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1034"/>
    </row>
    <row r="17" spans="1:12" s="649" customFormat="1" ht="20.100000000000001" customHeight="1">
      <c r="A17" s="1011"/>
      <c r="B17" s="1031"/>
      <c r="C17" s="1011"/>
      <c r="D17" s="1011"/>
      <c r="E17" s="1026"/>
      <c r="F17" s="1027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1034"/>
    </row>
    <row r="18" spans="1:12" s="649" customFormat="1" ht="20.100000000000001" customHeight="1">
      <c r="A18" s="1011"/>
      <c r="B18" s="1031"/>
      <c r="C18" s="1011"/>
      <c r="D18" s="1011"/>
      <c r="E18" s="1026"/>
      <c r="F18" s="1027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1034"/>
    </row>
    <row r="19" spans="1:12" s="649" customFormat="1" ht="20.100000000000001" customHeight="1">
      <c r="A19" s="1011"/>
      <c r="B19" s="1031"/>
      <c r="C19" s="1011"/>
      <c r="D19" s="1011"/>
      <c r="E19" s="1026"/>
      <c r="F19" s="1027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1034"/>
    </row>
    <row r="20" spans="1:12" s="649" customFormat="1" ht="20.100000000000001" customHeight="1">
      <c r="A20" s="1011"/>
      <c r="B20" s="1031"/>
      <c r="C20" s="1011"/>
      <c r="D20" s="1011"/>
      <c r="E20" s="1026"/>
      <c r="F20" s="1027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1034"/>
    </row>
    <row r="21" spans="1:12" s="649" customFormat="1" ht="20.100000000000001" customHeight="1">
      <c r="A21" s="1011"/>
      <c r="B21" s="1031"/>
      <c r="C21" s="1011"/>
      <c r="D21" s="1011"/>
      <c r="E21" s="1026"/>
      <c r="F21" s="1027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1034"/>
    </row>
    <row r="22" spans="1:12" s="649" customFormat="1" ht="20.100000000000001" customHeight="1">
      <c r="A22" s="1011"/>
      <c r="B22" s="1031"/>
      <c r="C22" s="1011"/>
      <c r="D22" s="1011"/>
      <c r="E22" s="1028"/>
      <c r="F22" s="1029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1034"/>
    </row>
    <row r="23" spans="1:12" s="649" customFormat="1" ht="20.100000000000001" customHeight="1">
      <c r="A23" s="1011"/>
      <c r="B23" s="1031"/>
      <c r="C23" s="1011"/>
      <c r="D23" s="1011"/>
      <c r="E23" s="1011" t="s">
        <v>1923</v>
      </c>
      <c r="F23" s="1011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1034"/>
    </row>
    <row r="24" spans="1:12" s="649" customFormat="1" ht="20.100000000000001" customHeight="1">
      <c r="A24" s="1011"/>
      <c r="B24" s="1031"/>
      <c r="C24" s="1011"/>
      <c r="D24" s="1011"/>
      <c r="E24" s="1011" t="s">
        <v>1924</v>
      </c>
      <c r="F24" s="1011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1034"/>
    </row>
    <row r="25" spans="1:12" s="649" customFormat="1" ht="20.100000000000001" customHeight="1">
      <c r="A25" s="1011"/>
      <c r="B25" s="1031"/>
      <c r="C25" s="1010" t="s">
        <v>24</v>
      </c>
      <c r="D25" s="1010"/>
      <c r="E25" s="1010"/>
      <c r="F25" s="1010"/>
      <c r="G25" s="651"/>
      <c r="H25" s="652"/>
      <c r="I25" s="651"/>
      <c r="J25" s="653">
        <f>SUM(J4:J24)</f>
        <v>2401619.5</v>
      </c>
      <c r="K25" s="1034"/>
      <c r="L25" s="654"/>
    </row>
    <row r="26" spans="1:12" s="649" customFormat="1" ht="20.100000000000001" customHeight="1">
      <c r="A26" s="1011"/>
      <c r="B26" s="1031"/>
      <c r="C26" s="1030" t="s">
        <v>1925</v>
      </c>
      <c r="D26" s="1030" t="s">
        <v>1926</v>
      </c>
      <c r="E26" s="1011" t="s">
        <v>1927</v>
      </c>
      <c r="F26" s="1011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1034"/>
    </row>
    <row r="27" spans="1:12" s="649" customFormat="1" ht="20.100000000000001" customHeight="1">
      <c r="A27" s="1011"/>
      <c r="B27" s="1031"/>
      <c r="C27" s="1031"/>
      <c r="D27" s="1031"/>
      <c r="E27" s="1011" t="s">
        <v>1928</v>
      </c>
      <c r="F27" s="1011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1034"/>
    </row>
    <row r="28" spans="1:12" s="649" customFormat="1" ht="20.100000000000001" customHeight="1">
      <c r="A28" s="1011"/>
      <c r="B28" s="1031"/>
      <c r="C28" s="1031"/>
      <c r="D28" s="1031"/>
      <c r="E28" s="1011" t="s">
        <v>1929</v>
      </c>
      <c r="F28" s="1011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1034"/>
    </row>
    <row r="29" spans="1:12" s="649" customFormat="1" ht="20.100000000000001" customHeight="1">
      <c r="A29" s="1011"/>
      <c r="B29" s="1031"/>
      <c r="C29" s="1031"/>
      <c r="D29" s="1031"/>
      <c r="E29" s="1011" t="s">
        <v>1930</v>
      </c>
      <c r="F29" s="1011"/>
      <c r="G29" s="645" t="s">
        <v>1372</v>
      </c>
      <c r="H29" s="646">
        <v>6</v>
      </c>
      <c r="I29" s="647">
        <v>180</v>
      </c>
      <c r="J29" s="648">
        <f>H29*I29</f>
        <v>1080</v>
      </c>
      <c r="K29" s="1034"/>
    </row>
    <row r="30" spans="1:12" s="649" customFormat="1" ht="20.100000000000001" customHeight="1">
      <c r="A30" s="1011"/>
      <c r="B30" s="1031"/>
      <c r="C30" s="1031"/>
      <c r="D30" s="1031"/>
      <c r="E30" s="1011" t="s">
        <v>1931</v>
      </c>
      <c r="F30" s="1011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1034"/>
    </row>
    <row r="31" spans="1:12" s="649" customFormat="1" ht="20.100000000000001" customHeight="1">
      <c r="A31" s="1011"/>
      <c r="B31" s="1031"/>
      <c r="C31" s="1031"/>
      <c r="D31" s="1031"/>
      <c r="E31" s="1011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1034"/>
    </row>
    <row r="32" spans="1:12" s="649" customFormat="1" ht="20.100000000000001" customHeight="1">
      <c r="A32" s="1011"/>
      <c r="B32" s="1031"/>
      <c r="C32" s="1031"/>
      <c r="D32" s="1031"/>
      <c r="E32" s="1011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1034"/>
    </row>
    <row r="33" spans="1:12" s="649" customFormat="1" ht="20.100000000000001" customHeight="1">
      <c r="A33" s="1011"/>
      <c r="B33" s="1031"/>
      <c r="C33" s="1031"/>
      <c r="D33" s="1031"/>
      <c r="E33" s="1024" t="s">
        <v>1935</v>
      </c>
      <c r="F33" s="1025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1034"/>
    </row>
    <row r="34" spans="1:12" s="649" customFormat="1" ht="20.100000000000001" customHeight="1">
      <c r="A34" s="1011"/>
      <c r="B34" s="1031"/>
      <c r="C34" s="1031"/>
      <c r="D34" s="1032"/>
      <c r="E34" s="1028"/>
      <c r="F34" s="1029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1034"/>
    </row>
    <row r="35" spans="1:12" s="649" customFormat="1" ht="20.100000000000001" customHeight="1">
      <c r="A35" s="1011"/>
      <c r="B35" s="1031"/>
      <c r="C35" s="1031"/>
      <c r="D35" s="1030" t="s">
        <v>1936</v>
      </c>
      <c r="E35" s="1011" t="s">
        <v>1937</v>
      </c>
      <c r="F35" s="1011"/>
      <c r="G35" s="645" t="s">
        <v>1372</v>
      </c>
      <c r="H35" s="646">
        <v>11</v>
      </c>
      <c r="I35" s="647">
        <v>600</v>
      </c>
      <c r="J35" s="648">
        <f>H35*I35</f>
        <v>6600</v>
      </c>
      <c r="K35" s="1034"/>
    </row>
    <row r="36" spans="1:12" s="649" customFormat="1" ht="20.100000000000001" customHeight="1">
      <c r="A36" s="1011"/>
      <c r="B36" s="1031"/>
      <c r="C36" s="1031"/>
      <c r="D36" s="1031"/>
      <c r="E36" s="1011" t="s">
        <v>1928</v>
      </c>
      <c r="F36" s="1011"/>
      <c r="G36" s="645" t="s">
        <v>1372</v>
      </c>
      <c r="H36" s="646">
        <v>40</v>
      </c>
      <c r="I36" s="647">
        <v>45</v>
      </c>
      <c r="J36" s="648">
        <f>H36*I36</f>
        <v>1800</v>
      </c>
      <c r="K36" s="1034"/>
    </row>
    <row r="37" spans="1:12" s="649" customFormat="1" ht="20.100000000000001" customHeight="1">
      <c r="A37" s="1011"/>
      <c r="B37" s="1031"/>
      <c r="C37" s="1031"/>
      <c r="D37" s="1031"/>
      <c r="E37" s="1011" t="s">
        <v>1929</v>
      </c>
      <c r="F37" s="1011"/>
      <c r="G37" s="645" t="s">
        <v>1372</v>
      </c>
      <c r="H37" s="646">
        <v>20</v>
      </c>
      <c r="I37" s="647">
        <v>45</v>
      </c>
      <c r="J37" s="648">
        <f>H37*I37</f>
        <v>900</v>
      </c>
      <c r="K37" s="1034"/>
    </row>
    <row r="38" spans="1:12" s="649" customFormat="1" ht="20.100000000000001" customHeight="1">
      <c r="A38" s="1011"/>
      <c r="B38" s="1031"/>
      <c r="C38" s="1032"/>
      <c r="D38" s="1032"/>
      <c r="E38" s="1011" t="s">
        <v>1938</v>
      </c>
      <c r="F38" s="1011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1034"/>
    </row>
    <row r="39" spans="1:12" s="649" customFormat="1" ht="20.100000000000001" customHeight="1">
      <c r="A39" s="1011"/>
      <c r="B39" s="1031"/>
      <c r="C39" s="1010" t="s">
        <v>24</v>
      </c>
      <c r="D39" s="1010"/>
      <c r="E39" s="1010"/>
      <c r="F39" s="1010"/>
      <c r="G39" s="651"/>
      <c r="H39" s="652"/>
      <c r="I39" s="651"/>
      <c r="J39" s="653">
        <f>SUM(J26:J38)</f>
        <v>63630</v>
      </c>
      <c r="K39" s="1034"/>
      <c r="L39" s="654"/>
    </row>
    <row r="40" spans="1:12" s="649" customFormat="1" ht="20.100000000000001" customHeight="1">
      <c r="A40" s="1011"/>
      <c r="B40" s="1031"/>
      <c r="C40" s="1024" t="s">
        <v>1455</v>
      </c>
      <c r="D40" s="1025"/>
      <c r="E40" s="1011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1034"/>
    </row>
    <row r="41" spans="1:12" s="649" customFormat="1" ht="20.100000000000001" customHeight="1">
      <c r="A41" s="1011"/>
      <c r="B41" s="1031"/>
      <c r="C41" s="1026"/>
      <c r="D41" s="1027"/>
      <c r="E41" s="1011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1034"/>
    </row>
    <row r="42" spans="1:12" s="649" customFormat="1" ht="20.100000000000001" customHeight="1">
      <c r="A42" s="1011"/>
      <c r="B42" s="1031"/>
      <c r="C42" s="1026"/>
      <c r="D42" s="1027"/>
      <c r="E42" s="1011" t="s">
        <v>1942</v>
      </c>
      <c r="F42" s="650" t="s">
        <v>1943</v>
      </c>
      <c r="G42" s="1018" t="s">
        <v>1376</v>
      </c>
      <c r="H42" s="1021">
        <v>1</v>
      </c>
      <c r="I42" s="1012">
        <v>30000</v>
      </c>
      <c r="J42" s="1015">
        <f t="shared" si="0"/>
        <v>30000</v>
      </c>
      <c r="K42" s="1034"/>
    </row>
    <row r="43" spans="1:12" s="649" customFormat="1" ht="20.100000000000001" customHeight="1">
      <c r="A43" s="1011"/>
      <c r="B43" s="1031"/>
      <c r="C43" s="1026"/>
      <c r="D43" s="1027"/>
      <c r="E43" s="1011"/>
      <c r="F43" s="650" t="s">
        <v>1944</v>
      </c>
      <c r="G43" s="1019"/>
      <c r="H43" s="1022"/>
      <c r="I43" s="1013"/>
      <c r="J43" s="1016"/>
      <c r="K43" s="1034"/>
    </row>
    <row r="44" spans="1:12" s="649" customFormat="1" ht="20.100000000000001" customHeight="1">
      <c r="A44" s="1011"/>
      <c r="B44" s="1031"/>
      <c r="C44" s="1026"/>
      <c r="D44" s="1027"/>
      <c r="E44" s="1011"/>
      <c r="F44" s="650" t="s">
        <v>1945</v>
      </c>
      <c r="G44" s="1020"/>
      <c r="H44" s="1023"/>
      <c r="I44" s="1014"/>
      <c r="J44" s="1017"/>
      <c r="K44" s="1034"/>
    </row>
    <row r="45" spans="1:12" s="649" customFormat="1" ht="20.100000000000001" customHeight="1">
      <c r="A45" s="1011"/>
      <c r="B45" s="1031"/>
      <c r="C45" s="1026"/>
      <c r="D45" s="1027"/>
      <c r="E45" s="1011" t="s">
        <v>1946</v>
      </c>
      <c r="F45" s="1011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1034"/>
    </row>
    <row r="46" spans="1:12" s="649" customFormat="1" ht="20.100000000000001" customHeight="1">
      <c r="A46" s="1011"/>
      <c r="B46" s="1031"/>
      <c r="C46" s="1026"/>
      <c r="D46" s="1027"/>
      <c r="E46" s="1011" t="s">
        <v>1947</v>
      </c>
      <c r="F46" s="1011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1034"/>
    </row>
    <row r="47" spans="1:12" s="649" customFormat="1" ht="20.100000000000001" customHeight="1">
      <c r="A47" s="1011"/>
      <c r="B47" s="1031"/>
      <c r="C47" s="1026"/>
      <c r="D47" s="1027"/>
      <c r="E47" s="1011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1034"/>
    </row>
    <row r="48" spans="1:12" s="649" customFormat="1" ht="20.100000000000001" customHeight="1">
      <c r="A48" s="1011"/>
      <c r="B48" s="1031"/>
      <c r="C48" s="1026"/>
      <c r="D48" s="1027"/>
      <c r="E48" s="1011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1034"/>
    </row>
    <row r="49" spans="1:12" s="649" customFormat="1" ht="20.100000000000001" customHeight="1">
      <c r="A49" s="1011"/>
      <c r="B49" s="1031"/>
      <c r="C49" s="1026"/>
      <c r="D49" s="1027"/>
      <c r="E49" s="1011" t="s">
        <v>1951</v>
      </c>
      <c r="F49" s="1011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1034"/>
    </row>
    <row r="50" spans="1:12" s="649" customFormat="1" ht="20.100000000000001" customHeight="1">
      <c r="A50" s="1011"/>
      <c r="B50" s="1031"/>
      <c r="C50" s="1026"/>
      <c r="D50" s="1027"/>
      <c r="E50" s="1011" t="s">
        <v>1952</v>
      </c>
      <c r="F50" s="1011"/>
      <c r="G50" s="645" t="s">
        <v>1372</v>
      </c>
      <c r="H50" s="1021">
        <v>220</v>
      </c>
      <c r="I50" s="1012">
        <v>200</v>
      </c>
      <c r="J50" s="1015">
        <f t="shared" si="0"/>
        <v>44000</v>
      </c>
      <c r="K50" s="1034"/>
    </row>
    <row r="51" spans="1:12" s="649" customFormat="1" ht="20.100000000000001" customHeight="1">
      <c r="A51" s="1011"/>
      <c r="B51" s="1031"/>
      <c r="C51" s="1026"/>
      <c r="D51" s="1027"/>
      <c r="E51" s="1011" t="s">
        <v>1953</v>
      </c>
      <c r="F51" s="1011"/>
      <c r="G51" s="645" t="s">
        <v>1372</v>
      </c>
      <c r="H51" s="1023"/>
      <c r="I51" s="1014"/>
      <c r="J51" s="1017"/>
      <c r="K51" s="1034"/>
    </row>
    <row r="52" spans="1:12" s="649" customFormat="1" ht="20.100000000000001" customHeight="1">
      <c r="A52" s="1011"/>
      <c r="B52" s="1031"/>
      <c r="C52" s="1026"/>
      <c r="D52" s="1027"/>
      <c r="E52" s="1024" t="s">
        <v>1954</v>
      </c>
      <c r="F52" s="1025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1034"/>
    </row>
    <row r="53" spans="1:12" s="649" customFormat="1" ht="20.100000000000001" customHeight="1">
      <c r="A53" s="1011"/>
      <c r="B53" s="1031"/>
      <c r="C53" s="1028"/>
      <c r="D53" s="1029"/>
      <c r="E53" s="1028"/>
      <c r="F53" s="1029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1034"/>
    </row>
    <row r="54" spans="1:12" s="649" customFormat="1" ht="20.100000000000001" customHeight="1">
      <c r="A54" s="1011"/>
      <c r="B54" s="1031"/>
      <c r="C54" s="1010" t="s">
        <v>24</v>
      </c>
      <c r="D54" s="1010"/>
      <c r="E54" s="1010"/>
      <c r="F54" s="1010"/>
      <c r="G54" s="651"/>
      <c r="H54" s="652"/>
      <c r="I54" s="651"/>
      <c r="J54" s="653">
        <f>SUM(J40:J53)</f>
        <v>279650</v>
      </c>
      <c r="K54" s="1034"/>
      <c r="L54" s="654"/>
    </row>
    <row r="55" spans="1:12" s="649" customFormat="1" ht="20.100000000000001" customHeight="1">
      <c r="A55" s="1011"/>
      <c r="B55" s="1031"/>
      <c r="C55" s="1011" t="s">
        <v>1565</v>
      </c>
      <c r="D55" s="1011"/>
      <c r="E55" s="1011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1034"/>
    </row>
    <row r="56" spans="1:12" s="649" customFormat="1" ht="20.100000000000001" customHeight="1">
      <c r="A56" s="1011"/>
      <c r="B56" s="1031"/>
      <c r="C56" s="1011"/>
      <c r="D56" s="1011"/>
      <c r="E56" s="1011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1034"/>
    </row>
    <row r="57" spans="1:12" s="649" customFormat="1" ht="20.100000000000001" customHeight="1">
      <c r="A57" s="1011"/>
      <c r="B57" s="1031"/>
      <c r="C57" s="1011"/>
      <c r="D57" s="1011"/>
      <c r="E57" s="1011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1034"/>
    </row>
    <row r="58" spans="1:12" s="649" customFormat="1" ht="20.100000000000001" customHeight="1">
      <c r="A58" s="1011"/>
      <c r="B58" s="1031"/>
      <c r="C58" s="1011"/>
      <c r="D58" s="1011"/>
      <c r="E58" s="1011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1034"/>
    </row>
    <row r="59" spans="1:12" s="649" customFormat="1" ht="20.100000000000001" customHeight="1">
      <c r="A59" s="1011"/>
      <c r="B59" s="1031"/>
      <c r="C59" s="1011"/>
      <c r="D59" s="1011"/>
      <c r="E59" s="1011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1034"/>
    </row>
    <row r="60" spans="1:12" s="649" customFormat="1" ht="20.100000000000001" customHeight="1">
      <c r="A60" s="1011"/>
      <c r="B60" s="1031"/>
      <c r="C60" s="1011"/>
      <c r="D60" s="1011"/>
      <c r="E60" s="1011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1034"/>
    </row>
    <row r="61" spans="1:12" s="649" customFormat="1" ht="20.100000000000001" customHeight="1">
      <c r="A61" s="1011"/>
      <c r="B61" s="1031"/>
      <c r="C61" s="1011"/>
      <c r="D61" s="1011"/>
      <c r="E61" s="1011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1034"/>
    </row>
    <row r="62" spans="1:12" s="649" customFormat="1" ht="20.100000000000001" customHeight="1">
      <c r="A62" s="1011"/>
      <c r="B62" s="1031"/>
      <c r="C62" s="1011"/>
      <c r="D62" s="1011"/>
      <c r="E62" s="1011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1034"/>
    </row>
    <row r="63" spans="1:12" s="649" customFormat="1" ht="20.100000000000001" customHeight="1">
      <c r="A63" s="1011"/>
      <c r="B63" s="1031"/>
      <c r="C63" s="1011"/>
      <c r="D63" s="1011"/>
      <c r="E63" s="1011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1034"/>
    </row>
    <row r="64" spans="1:12" s="649" customFormat="1" ht="20.100000000000001" customHeight="1">
      <c r="A64" s="1011"/>
      <c r="B64" s="1031"/>
      <c r="C64" s="1011"/>
      <c r="D64" s="1011"/>
      <c r="E64" s="1011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1034"/>
    </row>
    <row r="65" spans="1:11" s="649" customFormat="1" ht="20.100000000000001" customHeight="1">
      <c r="A65" s="1011"/>
      <c r="B65" s="1031"/>
      <c r="C65" s="1011"/>
      <c r="D65" s="1011"/>
      <c r="E65" s="1011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1034"/>
    </row>
    <row r="66" spans="1:11" s="649" customFormat="1" ht="20.100000000000001" customHeight="1">
      <c r="A66" s="1011"/>
      <c r="B66" s="1031"/>
      <c r="C66" s="1011"/>
      <c r="D66" s="1011"/>
      <c r="E66" s="1011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1034"/>
    </row>
    <row r="67" spans="1:11" s="649" customFormat="1" ht="20.100000000000001" customHeight="1">
      <c r="A67" s="1011"/>
      <c r="B67" s="1031"/>
      <c r="C67" s="1011"/>
      <c r="D67" s="1011"/>
      <c r="E67" s="1011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1034"/>
    </row>
    <row r="68" spans="1:11" s="649" customFormat="1" ht="20.100000000000001" customHeight="1">
      <c r="A68" s="1011"/>
      <c r="B68" s="1031"/>
      <c r="C68" s="1011"/>
      <c r="D68" s="1011"/>
      <c r="E68" s="1011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1034"/>
    </row>
    <row r="69" spans="1:11" s="649" customFormat="1" ht="20.100000000000001" customHeight="1">
      <c r="A69" s="1011"/>
      <c r="B69" s="1031"/>
      <c r="C69" s="1011"/>
      <c r="D69" s="1011"/>
      <c r="E69" s="1011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1034"/>
    </row>
    <row r="70" spans="1:11" s="649" customFormat="1" ht="20.100000000000001" customHeight="1">
      <c r="A70" s="1011"/>
      <c r="B70" s="1031"/>
      <c r="C70" s="1011"/>
      <c r="D70" s="1011"/>
      <c r="E70" s="1011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1034"/>
    </row>
    <row r="71" spans="1:11" s="649" customFormat="1" ht="20.100000000000001" customHeight="1">
      <c r="A71" s="1011"/>
      <c r="B71" s="1031"/>
      <c r="C71" s="1011"/>
      <c r="D71" s="1011"/>
      <c r="E71" s="1011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1034"/>
    </row>
    <row r="72" spans="1:11" s="649" customFormat="1" ht="20.100000000000001" customHeight="1">
      <c r="A72" s="1011"/>
      <c r="B72" s="1031"/>
      <c r="C72" s="1010" t="s">
        <v>24</v>
      </c>
      <c r="D72" s="1010"/>
      <c r="E72" s="1010"/>
      <c r="F72" s="1010"/>
      <c r="G72" s="651"/>
      <c r="H72" s="652"/>
      <c r="I72" s="651"/>
      <c r="J72" s="653">
        <f>SUM(J55:J71)</f>
        <v>50900</v>
      </c>
      <c r="K72" s="1034"/>
    </row>
    <row r="73" spans="1:11" s="649" customFormat="1" ht="20.100000000000001" customHeight="1">
      <c r="A73" s="1011"/>
      <c r="B73" s="1031"/>
      <c r="C73" s="1011" t="s">
        <v>1973</v>
      </c>
      <c r="D73" s="1011"/>
      <c r="E73" s="1011" t="s">
        <v>1974</v>
      </c>
      <c r="F73" s="1011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1034"/>
    </row>
    <row r="74" spans="1:11" s="649" customFormat="1" ht="20.100000000000001" customHeight="1">
      <c r="A74" s="1011"/>
      <c r="B74" s="1031"/>
      <c r="C74" s="1011"/>
      <c r="D74" s="1011"/>
      <c r="E74" s="1011" t="s">
        <v>1928</v>
      </c>
      <c r="F74" s="1011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1034"/>
    </row>
    <row r="75" spans="1:11" s="649" customFormat="1" ht="20.100000000000001" customHeight="1">
      <c r="A75" s="1011"/>
      <c r="B75" s="1031"/>
      <c r="C75" s="1011"/>
      <c r="D75" s="1011"/>
      <c r="E75" s="1011" t="s">
        <v>1975</v>
      </c>
      <c r="F75" s="1011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1034"/>
    </row>
    <row r="76" spans="1:11" s="649" customFormat="1" ht="20.100000000000001" customHeight="1">
      <c r="A76" s="1011"/>
      <c r="B76" s="1031"/>
      <c r="C76" s="1011"/>
      <c r="D76" s="1011"/>
      <c r="E76" s="1011" t="s">
        <v>1954</v>
      </c>
      <c r="F76" s="1011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1034"/>
    </row>
    <row r="77" spans="1:11" s="649" customFormat="1" ht="20.100000000000001" customHeight="1">
      <c r="A77" s="1011"/>
      <c r="B77" s="1031"/>
      <c r="C77" s="1010" t="s">
        <v>24</v>
      </c>
      <c r="D77" s="1010"/>
      <c r="E77" s="1010"/>
      <c r="F77" s="1010"/>
      <c r="G77" s="651"/>
      <c r="H77" s="652"/>
      <c r="I77" s="651"/>
      <c r="J77" s="653">
        <f>SUM(J73:J76)</f>
        <v>640530</v>
      </c>
      <c r="K77" s="1034"/>
    </row>
    <row r="78" spans="1:11" s="649" customFormat="1" ht="20.100000000000001" customHeight="1">
      <c r="A78" s="1011"/>
      <c r="B78" s="1031"/>
      <c r="C78" s="1011" t="s">
        <v>1976</v>
      </c>
      <c r="D78" s="1011" t="s">
        <v>1977</v>
      </c>
      <c r="E78" s="1011" t="s">
        <v>1928</v>
      </c>
      <c r="F78" s="1011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1034"/>
    </row>
    <row r="79" spans="1:11" s="649" customFormat="1" ht="20.100000000000001" customHeight="1">
      <c r="A79" s="1011"/>
      <c r="B79" s="1031"/>
      <c r="C79" s="1011"/>
      <c r="D79" s="1011"/>
      <c r="E79" s="1011" t="s">
        <v>1978</v>
      </c>
      <c r="F79" s="1011"/>
      <c r="G79" s="645" t="s">
        <v>1372</v>
      </c>
      <c r="H79" s="646">
        <v>280</v>
      </c>
      <c r="I79" s="647">
        <v>45</v>
      </c>
      <c r="J79" s="648">
        <f>H79*I79</f>
        <v>12600</v>
      </c>
      <c r="K79" s="1034"/>
    </row>
    <row r="80" spans="1:11" s="649" customFormat="1" ht="20.100000000000001" customHeight="1">
      <c r="A80" s="1011"/>
      <c r="B80" s="1031"/>
      <c r="C80" s="1011"/>
      <c r="D80" s="1011"/>
      <c r="E80" s="1011" t="s">
        <v>1979</v>
      </c>
      <c r="F80" s="1011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1034"/>
    </row>
    <row r="81" spans="1:11" s="649" customFormat="1" ht="20.100000000000001" customHeight="1">
      <c r="A81" s="1011"/>
      <c r="B81" s="1031"/>
      <c r="C81" s="1011"/>
      <c r="D81" s="1011"/>
      <c r="E81" s="1011" t="s">
        <v>1929</v>
      </c>
      <c r="F81" s="1011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1034"/>
    </row>
    <row r="82" spans="1:11" s="649" customFormat="1" ht="20.100000000000001" customHeight="1">
      <c r="A82" s="1011"/>
      <c r="B82" s="1031"/>
      <c r="C82" s="1011"/>
      <c r="D82" s="1011"/>
      <c r="E82" s="1011" t="s">
        <v>1980</v>
      </c>
      <c r="F82" s="1011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1034"/>
    </row>
    <row r="83" spans="1:11" s="649" customFormat="1" ht="20.100000000000001" customHeight="1">
      <c r="A83" s="1011"/>
      <c r="B83" s="1031"/>
      <c r="C83" s="1011"/>
      <c r="D83" s="1011"/>
      <c r="E83" s="1011" t="s">
        <v>1981</v>
      </c>
      <c r="F83" s="1011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1034"/>
    </row>
    <row r="84" spans="1:11" s="649" customFormat="1" ht="20.100000000000001" customHeight="1">
      <c r="A84" s="1011"/>
      <c r="B84" s="1031"/>
      <c r="C84" s="1011"/>
      <c r="D84" s="1011"/>
      <c r="E84" s="1011" t="s">
        <v>1982</v>
      </c>
      <c r="F84" s="1011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1034"/>
    </row>
    <row r="85" spans="1:11" s="649" customFormat="1" ht="20.100000000000001" customHeight="1">
      <c r="A85" s="1011"/>
      <c r="B85" s="1031"/>
      <c r="C85" s="1011"/>
      <c r="D85" s="1011"/>
      <c r="E85" s="1011" t="s">
        <v>1983</v>
      </c>
      <c r="F85" s="1011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1034"/>
    </row>
    <row r="86" spans="1:11" s="649" customFormat="1" ht="20.100000000000001" customHeight="1">
      <c r="A86" s="1011"/>
      <c r="B86" s="1031"/>
      <c r="C86" s="1011"/>
      <c r="D86" s="1011"/>
      <c r="E86" s="1011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1034"/>
    </row>
    <row r="87" spans="1:11" s="649" customFormat="1" ht="20.100000000000001" customHeight="1">
      <c r="A87" s="1011"/>
      <c r="B87" s="1031"/>
      <c r="C87" s="1011"/>
      <c r="D87" s="1011"/>
      <c r="E87" s="1011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1034"/>
    </row>
    <row r="88" spans="1:11" s="649" customFormat="1" ht="20.100000000000001" customHeight="1">
      <c r="A88" s="1011"/>
      <c r="B88" s="1031"/>
      <c r="C88" s="1011"/>
      <c r="D88" s="1011"/>
      <c r="E88" s="1011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1034"/>
    </row>
    <row r="89" spans="1:11" s="649" customFormat="1" ht="20.100000000000001" customHeight="1">
      <c r="A89" s="1011"/>
      <c r="B89" s="1031"/>
      <c r="C89" s="1011"/>
      <c r="D89" s="1011"/>
      <c r="E89" s="1011" t="s">
        <v>1988</v>
      </c>
      <c r="F89" s="1011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1034"/>
    </row>
    <row r="90" spans="1:11" s="649" customFormat="1" ht="20.100000000000001" customHeight="1">
      <c r="A90" s="1011"/>
      <c r="B90" s="1031"/>
      <c r="C90" s="1011"/>
      <c r="D90" s="1011"/>
      <c r="E90" s="1011" t="s">
        <v>1989</v>
      </c>
      <c r="F90" s="1011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1034"/>
    </row>
    <row r="91" spans="1:11" s="649" customFormat="1" ht="20.100000000000001" customHeight="1">
      <c r="A91" s="1011"/>
      <c r="B91" s="1031"/>
      <c r="C91" s="1011"/>
      <c r="D91" s="1011"/>
      <c r="E91" s="1011" t="s">
        <v>1990</v>
      </c>
      <c r="F91" s="1011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1034"/>
    </row>
    <row r="92" spans="1:11" s="649" customFormat="1" ht="20.100000000000001" customHeight="1">
      <c r="A92" s="1011"/>
      <c r="B92" s="1031"/>
      <c r="C92" s="1011"/>
      <c r="D92" s="1011" t="s">
        <v>1991</v>
      </c>
      <c r="E92" s="1011" t="s">
        <v>1928</v>
      </c>
      <c r="F92" s="1011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1034"/>
    </row>
    <row r="93" spans="1:11" s="649" customFormat="1" ht="20.100000000000001" customHeight="1">
      <c r="A93" s="1011"/>
      <c r="B93" s="1031"/>
      <c r="C93" s="1011"/>
      <c r="D93" s="1011"/>
      <c r="E93" s="1011" t="s">
        <v>1978</v>
      </c>
      <c r="F93" s="1011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1034"/>
    </row>
    <row r="94" spans="1:11" s="649" customFormat="1" ht="20.100000000000001" customHeight="1">
      <c r="A94" s="1011"/>
      <c r="B94" s="1031"/>
      <c r="C94" s="1011"/>
      <c r="D94" s="1011"/>
      <c r="E94" s="1011" t="s">
        <v>1979</v>
      </c>
      <c r="F94" s="1011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1034"/>
    </row>
    <row r="95" spans="1:11" s="649" customFormat="1" ht="20.100000000000001" customHeight="1">
      <c r="A95" s="1011"/>
      <c r="B95" s="1031"/>
      <c r="C95" s="1011"/>
      <c r="D95" s="1011"/>
      <c r="E95" s="1011" t="s">
        <v>1929</v>
      </c>
      <c r="F95" s="1011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1034"/>
    </row>
    <row r="96" spans="1:11" s="649" customFormat="1" ht="20.100000000000001" customHeight="1">
      <c r="A96" s="1011"/>
      <c r="B96" s="1031"/>
      <c r="C96" s="1011"/>
      <c r="D96" s="1011"/>
      <c r="E96" s="1011" t="s">
        <v>1992</v>
      </c>
      <c r="F96" s="1011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1034"/>
    </row>
    <row r="97" spans="1:11" s="649" customFormat="1" ht="20.100000000000001" customHeight="1">
      <c r="A97" s="1011"/>
      <c r="B97" s="1031"/>
      <c r="C97" s="1011"/>
      <c r="D97" s="1011"/>
      <c r="E97" s="1011" t="s">
        <v>1981</v>
      </c>
      <c r="F97" s="1011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1034"/>
    </row>
    <row r="98" spans="1:11" s="649" customFormat="1" ht="20.100000000000001" customHeight="1">
      <c r="A98" s="1011"/>
      <c r="B98" s="1031"/>
      <c r="C98" s="1011"/>
      <c r="D98" s="1011"/>
      <c r="E98" s="1011" t="s">
        <v>1982</v>
      </c>
      <c r="F98" s="1011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1034"/>
    </row>
    <row r="99" spans="1:11" s="649" customFormat="1" ht="20.100000000000001" customHeight="1">
      <c r="A99" s="1011"/>
      <c r="B99" s="1031"/>
      <c r="C99" s="1011"/>
      <c r="D99" s="1011"/>
      <c r="E99" s="1011" t="s">
        <v>1983</v>
      </c>
      <c r="F99" s="1011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1034"/>
    </row>
    <row r="100" spans="1:11" s="649" customFormat="1" ht="20.100000000000001" customHeight="1">
      <c r="A100" s="1011"/>
      <c r="B100" s="1031"/>
      <c r="C100" s="1011"/>
      <c r="D100" s="1011"/>
      <c r="E100" s="1011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1034"/>
    </row>
    <row r="101" spans="1:11" s="649" customFormat="1" ht="20.100000000000001" customHeight="1">
      <c r="A101" s="1011"/>
      <c r="B101" s="1031"/>
      <c r="C101" s="1011"/>
      <c r="D101" s="1011"/>
      <c r="E101" s="1011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1034"/>
    </row>
    <row r="102" spans="1:11" s="649" customFormat="1" ht="20.100000000000001" customHeight="1">
      <c r="A102" s="1011"/>
      <c r="B102" s="1031"/>
      <c r="C102" s="1011"/>
      <c r="D102" s="1011"/>
      <c r="E102" s="1011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1034"/>
    </row>
    <row r="103" spans="1:11" s="649" customFormat="1" ht="20.100000000000001" customHeight="1">
      <c r="A103" s="1011"/>
      <c r="B103" s="1031"/>
      <c r="C103" s="1011"/>
      <c r="D103" s="1011"/>
      <c r="E103" s="1011" t="s">
        <v>1988</v>
      </c>
      <c r="F103" s="1011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1034"/>
    </row>
    <row r="104" spans="1:11" s="649" customFormat="1" ht="20.100000000000001" customHeight="1">
      <c r="A104" s="1011"/>
      <c r="B104" s="1031"/>
      <c r="C104" s="1011"/>
      <c r="D104" s="1011"/>
      <c r="E104" s="1011" t="s">
        <v>1989</v>
      </c>
      <c r="F104" s="1011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1034"/>
    </row>
    <row r="105" spans="1:11" s="649" customFormat="1" ht="20.100000000000001" customHeight="1">
      <c r="A105" s="1011"/>
      <c r="B105" s="1031"/>
      <c r="C105" s="1011"/>
      <c r="D105" s="1011"/>
      <c r="E105" s="1011" t="s">
        <v>1994</v>
      </c>
      <c r="F105" s="1011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1034"/>
    </row>
    <row r="106" spans="1:11" s="649" customFormat="1" ht="20.100000000000001" customHeight="1">
      <c r="A106" s="1011"/>
      <c r="B106" s="1031"/>
      <c r="C106" s="1011"/>
      <c r="D106" s="1011" t="s">
        <v>1995</v>
      </c>
      <c r="E106" s="1011" t="s">
        <v>1928</v>
      </c>
      <c r="F106" s="1011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1034"/>
    </row>
    <row r="107" spans="1:11" s="649" customFormat="1" ht="20.100000000000001" customHeight="1">
      <c r="A107" s="1011"/>
      <c r="B107" s="1031"/>
      <c r="C107" s="1011"/>
      <c r="D107" s="1011"/>
      <c r="E107" s="1011" t="s">
        <v>1929</v>
      </c>
      <c r="F107" s="1011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1034"/>
    </row>
    <row r="108" spans="1:11" s="649" customFormat="1" ht="20.100000000000001" customHeight="1">
      <c r="A108" s="1011"/>
      <c r="B108" s="1031"/>
      <c r="C108" s="1011"/>
      <c r="D108" s="1011"/>
      <c r="E108" s="1011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1034"/>
    </row>
    <row r="109" spans="1:11" s="649" customFormat="1" ht="20.100000000000001" customHeight="1">
      <c r="A109" s="1011"/>
      <c r="B109" s="1031"/>
      <c r="C109" s="1011"/>
      <c r="D109" s="1011"/>
      <c r="E109" s="1011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1034"/>
    </row>
    <row r="110" spans="1:11" s="649" customFormat="1" ht="20.100000000000001" customHeight="1">
      <c r="A110" s="1011"/>
      <c r="B110" s="1031"/>
      <c r="C110" s="1011"/>
      <c r="D110" s="1011"/>
      <c r="E110" s="1011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1034"/>
    </row>
    <row r="111" spans="1:11" s="649" customFormat="1" ht="20.100000000000001" customHeight="1">
      <c r="A111" s="1011"/>
      <c r="B111" s="1031"/>
      <c r="C111" s="1011"/>
      <c r="D111" s="1011"/>
      <c r="E111" s="1011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1034"/>
    </row>
    <row r="112" spans="1:11" s="649" customFormat="1" ht="20.100000000000001" customHeight="1">
      <c r="A112" s="1011"/>
      <c r="B112" s="1031"/>
      <c r="C112" s="1011"/>
      <c r="D112" s="1011"/>
      <c r="E112" s="1011" t="s">
        <v>2000</v>
      </c>
      <c r="F112" s="1011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1034"/>
    </row>
    <row r="113" spans="1:11" s="649" customFormat="1" ht="20.100000000000001" customHeight="1">
      <c r="A113" s="1011"/>
      <c r="B113" s="1031"/>
      <c r="C113" s="1011"/>
      <c r="D113" s="1011"/>
      <c r="E113" s="1011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1034"/>
    </row>
    <row r="114" spans="1:11" s="649" customFormat="1" ht="20.100000000000001" customHeight="1">
      <c r="A114" s="1011"/>
      <c r="B114" s="1031"/>
      <c r="C114" s="1011"/>
      <c r="D114" s="1011"/>
      <c r="E114" s="1011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1034"/>
    </row>
    <row r="115" spans="1:11" s="649" customFormat="1" ht="20.100000000000001" customHeight="1">
      <c r="A115" s="1011"/>
      <c r="B115" s="1031"/>
      <c r="C115" s="1011"/>
      <c r="D115" s="1011"/>
      <c r="E115" s="1011" t="s">
        <v>2004</v>
      </c>
      <c r="F115" s="1011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1034"/>
    </row>
    <row r="116" spans="1:11" s="649" customFormat="1" ht="20.100000000000001" customHeight="1">
      <c r="A116" s="1011"/>
      <c r="B116" s="1031"/>
      <c r="C116" s="1011"/>
      <c r="D116" s="1011"/>
      <c r="E116" s="1011" t="s">
        <v>1994</v>
      </c>
      <c r="F116" s="1011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1034"/>
    </row>
    <row r="117" spans="1:11" s="649" customFormat="1" ht="20.100000000000001" customHeight="1">
      <c r="A117" s="1011"/>
      <c r="B117" s="1031"/>
      <c r="C117" s="1011"/>
      <c r="D117" s="1011"/>
      <c r="E117" s="1011" t="s">
        <v>2005</v>
      </c>
      <c r="F117" s="1011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1034"/>
    </row>
    <row r="118" spans="1:11" s="649" customFormat="1" ht="20.100000000000001" customHeight="1">
      <c r="A118" s="1011"/>
      <c r="B118" s="1031"/>
      <c r="C118" s="1011"/>
      <c r="D118" s="1011" t="s">
        <v>1926</v>
      </c>
      <c r="E118" s="1011" t="s">
        <v>1928</v>
      </c>
      <c r="F118" s="1011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1034"/>
    </row>
    <row r="119" spans="1:11" s="649" customFormat="1" ht="20.100000000000001" customHeight="1">
      <c r="A119" s="1011"/>
      <c r="B119" s="1031"/>
      <c r="C119" s="1011"/>
      <c r="D119" s="1011"/>
      <c r="E119" s="1011" t="s">
        <v>1929</v>
      </c>
      <c r="F119" s="1011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1034"/>
    </row>
    <row r="120" spans="1:11" s="649" customFormat="1" ht="20.100000000000001" customHeight="1">
      <c r="A120" s="1011"/>
      <c r="B120" s="1031"/>
      <c r="C120" s="1011"/>
      <c r="D120" s="1011"/>
      <c r="E120" s="1011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1034"/>
    </row>
    <row r="121" spans="1:11" s="649" customFormat="1" ht="20.100000000000001" customHeight="1">
      <c r="A121" s="1011"/>
      <c r="B121" s="1031"/>
      <c r="C121" s="1011"/>
      <c r="D121" s="1011"/>
      <c r="E121" s="1011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1034"/>
    </row>
    <row r="122" spans="1:11" s="649" customFormat="1" ht="20.100000000000001" customHeight="1">
      <c r="A122" s="1011"/>
      <c r="B122" s="1031"/>
      <c r="C122" s="1011"/>
      <c r="D122" s="1011"/>
      <c r="E122" s="1011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1034"/>
    </row>
    <row r="123" spans="1:11" s="649" customFormat="1" ht="20.100000000000001" customHeight="1">
      <c r="A123" s="1011"/>
      <c r="B123" s="1031"/>
      <c r="C123" s="1011"/>
      <c r="D123" s="1011"/>
      <c r="E123" s="1011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1034"/>
    </row>
    <row r="124" spans="1:11" s="649" customFormat="1" ht="20.100000000000001" customHeight="1">
      <c r="A124" s="1011"/>
      <c r="B124" s="1031"/>
      <c r="C124" s="1011"/>
      <c r="D124" s="1011"/>
      <c r="E124" s="1011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1034"/>
    </row>
    <row r="125" spans="1:11" s="649" customFormat="1" ht="20.100000000000001" customHeight="1">
      <c r="A125" s="1011"/>
      <c r="B125" s="1031"/>
      <c r="C125" s="1011"/>
      <c r="D125" s="1011"/>
      <c r="E125" s="1011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1034"/>
    </row>
    <row r="126" spans="1:11" s="649" customFormat="1" ht="20.100000000000001" customHeight="1">
      <c r="A126" s="1011"/>
      <c r="B126" s="1031"/>
      <c r="C126" s="1011"/>
      <c r="D126" s="1011"/>
      <c r="E126" s="1011" t="s">
        <v>2008</v>
      </c>
      <c r="F126" s="1011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1034"/>
    </row>
    <row r="127" spans="1:11" s="649" customFormat="1" ht="20.100000000000001" customHeight="1">
      <c r="A127" s="1011"/>
      <c r="B127" s="1031"/>
      <c r="C127" s="1011"/>
      <c r="D127" s="1011"/>
      <c r="E127" s="1011" t="s">
        <v>1994</v>
      </c>
      <c r="F127" s="1011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1034"/>
    </row>
    <row r="128" spans="1:11" s="649" customFormat="1" ht="20.100000000000001" customHeight="1">
      <c r="A128" s="1011"/>
      <c r="B128" s="1031"/>
      <c r="C128" s="1011"/>
      <c r="D128" s="1011"/>
      <c r="E128" s="1011" t="s">
        <v>2009</v>
      </c>
      <c r="F128" s="1011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1034"/>
    </row>
    <row r="129" spans="1:11" s="649" customFormat="1" ht="20.100000000000001" customHeight="1">
      <c r="A129" s="1011"/>
      <c r="B129" s="1031"/>
      <c r="C129" s="1011"/>
      <c r="D129" s="650" t="s">
        <v>2010</v>
      </c>
      <c r="E129" s="1011" t="s">
        <v>2011</v>
      </c>
      <c r="F129" s="1011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1034"/>
    </row>
    <row r="130" spans="1:11" s="649" customFormat="1" ht="20.100000000000001" customHeight="1">
      <c r="A130" s="1011"/>
      <c r="B130" s="1031"/>
      <c r="C130" s="1010" t="s">
        <v>24</v>
      </c>
      <c r="D130" s="1010"/>
      <c r="E130" s="1010"/>
      <c r="F130" s="1010"/>
      <c r="G130" s="651"/>
      <c r="H130" s="652"/>
      <c r="I130" s="651"/>
      <c r="J130" s="653">
        <f>SUM(J78:J129)</f>
        <v>809580</v>
      </c>
      <c r="K130" s="1034"/>
    </row>
    <row r="131" spans="1:11" s="649" customFormat="1" ht="20.100000000000001" customHeight="1">
      <c r="A131" s="1011"/>
      <c r="B131" s="1031"/>
      <c r="C131" s="1024" t="s">
        <v>2012</v>
      </c>
      <c r="D131" s="1025"/>
      <c r="E131" s="1011" t="s">
        <v>1928</v>
      </c>
      <c r="F131" s="1011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1034"/>
    </row>
    <row r="132" spans="1:11" s="649" customFormat="1" ht="20.100000000000001" customHeight="1">
      <c r="A132" s="1011"/>
      <c r="B132" s="1031"/>
      <c r="C132" s="1026"/>
      <c r="D132" s="1027"/>
      <c r="E132" s="1011" t="s">
        <v>1929</v>
      </c>
      <c r="F132" s="1011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1034"/>
    </row>
    <row r="133" spans="1:11" s="649" customFormat="1" ht="20.100000000000001" customHeight="1">
      <c r="A133" s="1011"/>
      <c r="B133" s="1031"/>
      <c r="C133" s="1026"/>
      <c r="D133" s="1027"/>
      <c r="E133" s="1011" t="s">
        <v>2013</v>
      </c>
      <c r="F133" s="1011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1034"/>
    </row>
    <row r="134" spans="1:11" s="649" customFormat="1" ht="20.100000000000001" customHeight="1">
      <c r="A134" s="1011"/>
      <c r="B134" s="1031"/>
      <c r="C134" s="1026"/>
      <c r="D134" s="1027"/>
      <c r="E134" s="1011" t="s">
        <v>1931</v>
      </c>
      <c r="F134" s="1011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1034"/>
    </row>
    <row r="135" spans="1:11" s="649" customFormat="1" ht="20.100000000000001" customHeight="1">
      <c r="A135" s="1011"/>
      <c r="B135" s="1031"/>
      <c r="C135" s="1028"/>
      <c r="D135" s="1029"/>
      <c r="E135" s="1011" t="s">
        <v>2014</v>
      </c>
      <c r="F135" s="1011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1034"/>
    </row>
    <row r="136" spans="1:11" s="649" customFormat="1" ht="20.100000000000001" customHeight="1">
      <c r="A136" s="1011"/>
      <c r="B136" s="1031"/>
      <c r="C136" s="1010" t="s">
        <v>24</v>
      </c>
      <c r="D136" s="1010"/>
      <c r="E136" s="1010"/>
      <c r="F136" s="1010"/>
      <c r="G136" s="651"/>
      <c r="H136" s="652"/>
      <c r="I136" s="651"/>
      <c r="J136" s="653">
        <f>SUM(J131:J135)</f>
        <v>60300</v>
      </c>
      <c r="K136" s="1034"/>
    </row>
    <row r="137" spans="1:11" s="649" customFormat="1" ht="20.100000000000001" customHeight="1">
      <c r="A137" s="1011"/>
      <c r="B137" s="1031"/>
      <c r="C137" s="1011" t="s">
        <v>2015</v>
      </c>
      <c r="D137" s="1011" t="s">
        <v>1459</v>
      </c>
      <c r="E137" s="1011" t="s">
        <v>2016</v>
      </c>
      <c r="F137" s="645" t="s">
        <v>2017</v>
      </c>
      <c r="G137" s="1018" t="s">
        <v>1376</v>
      </c>
      <c r="H137" s="1021">
        <v>1</v>
      </c>
      <c r="I137" s="1012">
        <v>30000</v>
      </c>
      <c r="J137" s="1015">
        <f t="shared" si="0"/>
        <v>30000</v>
      </c>
      <c r="K137" s="1034"/>
    </row>
    <row r="138" spans="1:11" s="649" customFormat="1" ht="20.100000000000001" customHeight="1">
      <c r="A138" s="1011"/>
      <c r="B138" s="1031"/>
      <c r="C138" s="1011"/>
      <c r="D138" s="1011"/>
      <c r="E138" s="1011"/>
      <c r="F138" s="645" t="s">
        <v>2018</v>
      </c>
      <c r="G138" s="1019"/>
      <c r="H138" s="1022"/>
      <c r="I138" s="1013"/>
      <c r="J138" s="1016"/>
      <c r="K138" s="1034"/>
    </row>
    <row r="139" spans="1:11" s="649" customFormat="1" ht="20.100000000000001" customHeight="1">
      <c r="A139" s="1011"/>
      <c r="B139" s="1031"/>
      <c r="C139" s="1011"/>
      <c r="D139" s="1011"/>
      <c r="E139" s="1011"/>
      <c r="F139" s="645" t="s">
        <v>2019</v>
      </c>
      <c r="G139" s="1019"/>
      <c r="H139" s="1022"/>
      <c r="I139" s="1013"/>
      <c r="J139" s="1016"/>
      <c r="K139" s="1034"/>
    </row>
    <row r="140" spans="1:11" s="649" customFormat="1" ht="20.100000000000001" customHeight="1">
      <c r="A140" s="1011"/>
      <c r="B140" s="1031"/>
      <c r="C140" s="1011"/>
      <c r="D140" s="1011"/>
      <c r="E140" s="1011"/>
      <c r="F140" s="645" t="s">
        <v>2020</v>
      </c>
      <c r="G140" s="1019"/>
      <c r="H140" s="1022"/>
      <c r="I140" s="1013"/>
      <c r="J140" s="1016"/>
      <c r="K140" s="1034"/>
    </row>
    <row r="141" spans="1:11" s="649" customFormat="1" ht="20.100000000000001" customHeight="1">
      <c r="A141" s="1011"/>
      <c r="B141" s="1031"/>
      <c r="C141" s="1011"/>
      <c r="D141" s="1011"/>
      <c r="E141" s="1011"/>
      <c r="F141" s="645" t="s">
        <v>2021</v>
      </c>
      <c r="G141" s="1020"/>
      <c r="H141" s="1023"/>
      <c r="I141" s="1014"/>
      <c r="J141" s="1017"/>
      <c r="K141" s="1034"/>
    </row>
    <row r="142" spans="1:11" s="649" customFormat="1" ht="20.100000000000001" customHeight="1">
      <c r="A142" s="1011"/>
      <c r="B142" s="1031"/>
      <c r="C142" s="1011"/>
      <c r="D142" s="1011"/>
      <c r="E142" s="1011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1034"/>
    </row>
    <row r="143" spans="1:11" s="649" customFormat="1" ht="20.100000000000001" customHeight="1">
      <c r="A143" s="1011"/>
      <c r="B143" s="1031"/>
      <c r="C143" s="1011"/>
      <c r="D143" s="1011"/>
      <c r="E143" s="1011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1034"/>
    </row>
    <row r="144" spans="1:11" s="649" customFormat="1" ht="20.100000000000001" customHeight="1">
      <c r="A144" s="1011"/>
      <c r="B144" s="1031"/>
      <c r="C144" s="1011"/>
      <c r="D144" s="1011"/>
      <c r="E144" s="1011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1034"/>
    </row>
    <row r="145" spans="1:11" s="649" customFormat="1" ht="20.100000000000001" customHeight="1">
      <c r="A145" s="1011"/>
      <c r="B145" s="1031"/>
      <c r="C145" s="1011"/>
      <c r="D145" s="1011"/>
      <c r="E145" s="1011" t="s">
        <v>2026</v>
      </c>
      <c r="F145" s="1011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1034"/>
    </row>
    <row r="146" spans="1:11" s="649" customFormat="1" ht="20.100000000000001" customHeight="1">
      <c r="A146" s="1011"/>
      <c r="B146" s="1031"/>
      <c r="C146" s="1011"/>
      <c r="D146" s="1011"/>
      <c r="E146" s="1011" t="s">
        <v>2027</v>
      </c>
      <c r="F146" s="1011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1034"/>
    </row>
    <row r="147" spans="1:11" s="649" customFormat="1" ht="20.100000000000001" customHeight="1">
      <c r="A147" s="1011"/>
      <c r="B147" s="1031"/>
      <c r="C147" s="1011"/>
      <c r="D147" s="1011"/>
      <c r="E147" s="1011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1034"/>
    </row>
    <row r="148" spans="1:11" s="649" customFormat="1" ht="20.100000000000001" customHeight="1">
      <c r="A148" s="1011"/>
      <c r="B148" s="1031"/>
      <c r="C148" s="1011"/>
      <c r="D148" s="1011"/>
      <c r="E148" s="1011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1034"/>
    </row>
    <row r="149" spans="1:11" s="649" customFormat="1" ht="20.100000000000001" customHeight="1">
      <c r="A149" s="1011"/>
      <c r="B149" s="1031"/>
      <c r="C149" s="1011"/>
      <c r="D149" s="1011"/>
      <c r="E149" s="1011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1034"/>
    </row>
    <row r="150" spans="1:11" s="649" customFormat="1" ht="20.100000000000001" customHeight="1">
      <c r="A150" s="1011"/>
      <c r="B150" s="1031"/>
      <c r="C150" s="1011"/>
      <c r="D150" s="1011"/>
      <c r="E150" s="1011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1034"/>
    </row>
    <row r="151" spans="1:11" s="649" customFormat="1" ht="20.100000000000001" customHeight="1">
      <c r="A151" s="1011"/>
      <c r="B151" s="1031"/>
      <c r="C151" s="1011"/>
      <c r="D151" s="1011"/>
      <c r="E151" s="1011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1034"/>
    </row>
    <row r="152" spans="1:11" s="649" customFormat="1" ht="20.100000000000001" customHeight="1">
      <c r="A152" s="1011"/>
      <c r="B152" s="1031"/>
      <c r="C152" s="1011"/>
      <c r="D152" s="1011"/>
      <c r="E152" s="1011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1034"/>
    </row>
    <row r="153" spans="1:11" s="649" customFormat="1" ht="20.100000000000001" customHeight="1">
      <c r="A153" s="1011"/>
      <c r="B153" s="1031"/>
      <c r="C153" s="1011"/>
      <c r="D153" s="1011"/>
      <c r="E153" s="1011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1034"/>
    </row>
    <row r="154" spans="1:11" s="649" customFormat="1" ht="20.100000000000001" customHeight="1">
      <c r="A154" s="1011"/>
      <c r="B154" s="1031"/>
      <c r="C154" s="1011"/>
      <c r="D154" s="1011"/>
      <c r="E154" s="1011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1034"/>
    </row>
    <row r="155" spans="1:11" s="649" customFormat="1" ht="20.100000000000001" customHeight="1">
      <c r="A155" s="1011"/>
      <c r="B155" s="1031"/>
      <c r="C155" s="1011"/>
      <c r="D155" s="1011"/>
      <c r="E155" s="1011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1034"/>
    </row>
    <row r="156" spans="1:11" s="649" customFormat="1" ht="20.100000000000001" customHeight="1">
      <c r="A156" s="1011"/>
      <c r="B156" s="1031"/>
      <c r="C156" s="1011"/>
      <c r="D156" s="1011"/>
      <c r="E156" s="1011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1034"/>
    </row>
    <row r="157" spans="1:11" s="649" customFormat="1" ht="20.100000000000001" customHeight="1">
      <c r="A157" s="1011"/>
      <c r="B157" s="1031"/>
      <c r="C157" s="1011"/>
      <c r="D157" s="1011"/>
      <c r="E157" s="1011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1034"/>
    </row>
    <row r="158" spans="1:11" s="649" customFormat="1" ht="20.100000000000001" customHeight="1">
      <c r="A158" s="1011"/>
      <c r="B158" s="1031"/>
      <c r="C158" s="1011"/>
      <c r="D158" s="1011"/>
      <c r="E158" s="1011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1034"/>
    </row>
    <row r="159" spans="1:11" s="649" customFormat="1" ht="20.100000000000001" customHeight="1">
      <c r="A159" s="1011"/>
      <c r="B159" s="1031"/>
      <c r="C159" s="1011"/>
      <c r="D159" s="1011"/>
      <c r="E159" s="1011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1034"/>
    </row>
    <row r="160" spans="1:11" s="649" customFormat="1" ht="20.100000000000001" customHeight="1">
      <c r="A160" s="1011"/>
      <c r="B160" s="1031"/>
      <c r="C160" s="1011"/>
      <c r="D160" s="1011"/>
      <c r="E160" s="1011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1034"/>
    </row>
    <row r="161" spans="1:11" s="649" customFormat="1" ht="20.100000000000001" customHeight="1">
      <c r="A161" s="1011"/>
      <c r="B161" s="1031"/>
      <c r="C161" s="1011"/>
      <c r="D161" s="1011"/>
      <c r="E161" s="1011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1034"/>
    </row>
    <row r="162" spans="1:11" s="649" customFormat="1" ht="20.100000000000001" customHeight="1">
      <c r="A162" s="1011"/>
      <c r="B162" s="1031"/>
      <c r="C162" s="1011"/>
      <c r="D162" s="1011"/>
      <c r="E162" s="1011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1034"/>
    </row>
    <row r="163" spans="1:11" s="649" customFormat="1" ht="20.100000000000001" customHeight="1">
      <c r="A163" s="1011"/>
      <c r="B163" s="1031"/>
      <c r="C163" s="1011"/>
      <c r="D163" s="1011"/>
      <c r="E163" s="1011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1034"/>
    </row>
    <row r="164" spans="1:11" s="649" customFormat="1" ht="20.100000000000001" customHeight="1">
      <c r="A164" s="1011"/>
      <c r="B164" s="1031"/>
      <c r="C164" s="1011"/>
      <c r="D164" s="1011"/>
      <c r="E164" s="1011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1034"/>
    </row>
    <row r="165" spans="1:11" s="649" customFormat="1" ht="20.100000000000001" customHeight="1">
      <c r="A165" s="1011"/>
      <c r="B165" s="1031"/>
      <c r="C165" s="1011"/>
      <c r="D165" s="1011"/>
      <c r="E165" s="1011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1034"/>
    </row>
    <row r="166" spans="1:11" s="649" customFormat="1" ht="20.100000000000001" customHeight="1">
      <c r="A166" s="1011"/>
      <c r="B166" s="1031"/>
      <c r="C166" s="1011"/>
      <c r="D166" s="1011"/>
      <c r="E166" s="1011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1034"/>
    </row>
    <row r="167" spans="1:11" s="649" customFormat="1" ht="20.100000000000001" customHeight="1">
      <c r="A167" s="1011"/>
      <c r="B167" s="1031"/>
      <c r="C167" s="1011"/>
      <c r="D167" s="1011"/>
      <c r="E167" s="1011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1034"/>
    </row>
    <row r="168" spans="1:11" s="649" customFormat="1" ht="20.100000000000001" customHeight="1">
      <c r="A168" s="1011"/>
      <c r="B168" s="1031"/>
      <c r="C168" s="1011"/>
      <c r="D168" s="1011"/>
      <c r="E168" s="1011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1034"/>
    </row>
    <row r="169" spans="1:11" s="649" customFormat="1" ht="20.100000000000001" customHeight="1">
      <c r="A169" s="1011"/>
      <c r="B169" s="1031"/>
      <c r="C169" s="1011"/>
      <c r="D169" s="1011"/>
      <c r="E169" s="1011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1034"/>
    </row>
    <row r="170" spans="1:11" s="649" customFormat="1" ht="20.100000000000001" customHeight="1">
      <c r="A170" s="1011"/>
      <c r="B170" s="1031"/>
      <c r="C170" s="1011"/>
      <c r="D170" s="1011"/>
      <c r="E170" s="1011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1034"/>
    </row>
    <row r="171" spans="1:11" s="649" customFormat="1" ht="20.100000000000001" customHeight="1">
      <c r="A171" s="1011"/>
      <c r="B171" s="1031"/>
      <c r="C171" s="1011"/>
      <c r="D171" s="1011"/>
      <c r="E171" s="1011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1034"/>
    </row>
    <row r="172" spans="1:11" s="649" customFormat="1" ht="20.100000000000001" customHeight="1">
      <c r="A172" s="1011"/>
      <c r="B172" s="1031"/>
      <c r="C172" s="1011"/>
      <c r="D172" s="1011"/>
      <c r="E172" s="1011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1034"/>
    </row>
    <row r="173" spans="1:11" s="649" customFormat="1" ht="20.100000000000001" customHeight="1">
      <c r="A173" s="1011"/>
      <c r="B173" s="1031"/>
      <c r="C173" s="1011"/>
      <c r="D173" s="1011"/>
      <c r="E173" s="1011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1034"/>
    </row>
    <row r="174" spans="1:11" s="649" customFormat="1" ht="20.100000000000001" customHeight="1">
      <c r="A174" s="1011"/>
      <c r="B174" s="1031"/>
      <c r="C174" s="1011"/>
      <c r="D174" s="1011"/>
      <c r="E174" s="1011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1034"/>
    </row>
    <row r="175" spans="1:11" s="649" customFormat="1" ht="20.100000000000001" customHeight="1">
      <c r="A175" s="1011"/>
      <c r="B175" s="1031"/>
      <c r="C175" s="1011"/>
      <c r="D175" s="1011"/>
      <c r="E175" s="1011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1034"/>
    </row>
    <row r="176" spans="1:11" s="649" customFormat="1" ht="20.100000000000001" customHeight="1">
      <c r="A176" s="1011"/>
      <c r="B176" s="1031"/>
      <c r="C176" s="1010" t="s">
        <v>24</v>
      </c>
      <c r="D176" s="1010"/>
      <c r="E176" s="1010"/>
      <c r="F176" s="1010"/>
      <c r="G176" s="655"/>
      <c r="H176" s="656"/>
      <c r="I176" s="647"/>
      <c r="J176" s="653">
        <f>SUM(J137:J175)</f>
        <v>318090</v>
      </c>
      <c r="K176" s="1034"/>
    </row>
    <row r="177" spans="1:11" s="649" customFormat="1" ht="20.100000000000001" customHeight="1">
      <c r="A177" s="1011"/>
      <c r="B177" s="1031"/>
      <c r="C177" s="1011" t="s">
        <v>2052</v>
      </c>
      <c r="D177" s="1011" t="s">
        <v>2053</v>
      </c>
      <c r="E177" s="1011" t="s">
        <v>2054</v>
      </c>
      <c r="F177" s="1011"/>
      <c r="G177" s="650" t="s">
        <v>2055</v>
      </c>
      <c r="H177" s="656" t="s">
        <v>2055</v>
      </c>
      <c r="I177" s="647" t="s">
        <v>2055</v>
      </c>
      <c r="J177" s="647">
        <v>10000</v>
      </c>
      <c r="K177" s="1034"/>
    </row>
    <row r="178" spans="1:11" s="649" customFormat="1" ht="20.100000000000001" customHeight="1">
      <c r="A178" s="1011"/>
      <c r="B178" s="1031"/>
      <c r="C178" s="1011"/>
      <c r="D178" s="1011"/>
      <c r="E178" s="1011" t="s">
        <v>2056</v>
      </c>
      <c r="F178" s="1011"/>
      <c r="G178" s="650" t="s">
        <v>2055</v>
      </c>
      <c r="H178" s="656" t="s">
        <v>2055</v>
      </c>
      <c r="I178" s="647" t="s">
        <v>2055</v>
      </c>
      <c r="J178" s="647">
        <v>10000</v>
      </c>
      <c r="K178" s="1034"/>
    </row>
    <row r="179" spans="1:11" s="649" customFormat="1" ht="20.100000000000001" customHeight="1">
      <c r="A179" s="1011"/>
      <c r="B179" s="1031"/>
      <c r="C179" s="1011"/>
      <c r="D179" s="1011" t="s">
        <v>2057</v>
      </c>
      <c r="E179" s="1011" t="s">
        <v>2058</v>
      </c>
      <c r="F179" s="1011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1034"/>
    </row>
    <row r="180" spans="1:11" s="649" customFormat="1" ht="20.100000000000001" customHeight="1">
      <c r="A180" s="1011"/>
      <c r="B180" s="1031"/>
      <c r="C180" s="1011"/>
      <c r="D180" s="1011"/>
      <c r="E180" s="1011" t="s">
        <v>2059</v>
      </c>
      <c r="F180" s="1011"/>
      <c r="G180" s="650" t="s">
        <v>2055</v>
      </c>
      <c r="H180" s="650" t="s">
        <v>2055</v>
      </c>
      <c r="I180" s="650" t="s">
        <v>2055</v>
      </c>
      <c r="J180" s="647">
        <v>30000</v>
      </c>
      <c r="K180" s="1034"/>
    </row>
    <row r="181" spans="1:11" s="649" customFormat="1" ht="20.100000000000001" customHeight="1">
      <c r="A181" s="1011"/>
      <c r="B181" s="1031"/>
      <c r="C181" s="1011"/>
      <c r="D181" s="1011"/>
      <c r="E181" s="1011" t="s">
        <v>2060</v>
      </c>
      <c r="F181" s="1011"/>
      <c r="G181" s="650" t="s">
        <v>2055</v>
      </c>
      <c r="H181" s="650" t="s">
        <v>2055</v>
      </c>
      <c r="I181" s="650" t="s">
        <v>2055</v>
      </c>
      <c r="J181" s="647">
        <v>20000</v>
      </c>
      <c r="K181" s="1034"/>
    </row>
    <row r="182" spans="1:11" s="649" customFormat="1" ht="20.100000000000001" customHeight="1">
      <c r="A182" s="1011"/>
      <c r="B182" s="1031"/>
      <c r="C182" s="1010" t="s">
        <v>24</v>
      </c>
      <c r="D182" s="1010"/>
      <c r="E182" s="1010"/>
      <c r="F182" s="1010"/>
      <c r="G182" s="656"/>
      <c r="H182" s="656"/>
      <c r="I182" s="658"/>
      <c r="J182" s="658">
        <f>SUM(J177:J181)</f>
        <v>80000</v>
      </c>
      <c r="K182" s="1034"/>
    </row>
    <row r="183" spans="1:11" s="649" customFormat="1" ht="20.100000000000001" customHeight="1">
      <c r="A183" s="1011"/>
      <c r="B183" s="1031"/>
      <c r="C183" s="656" t="s">
        <v>2061</v>
      </c>
      <c r="D183" s="1010" t="s">
        <v>2055</v>
      </c>
      <c r="E183" s="1010"/>
      <c r="F183" s="1010"/>
      <c r="G183" s="650"/>
      <c r="H183" s="650"/>
      <c r="I183" s="647"/>
      <c r="J183" s="658">
        <f>J25+J39+J54+J72+J77+J136+J176+J182+J130</f>
        <v>4704299.5</v>
      </c>
      <c r="K183" s="1034"/>
    </row>
    <row r="184" spans="1:11" s="649" customFormat="1" ht="20.100000000000001" customHeight="1">
      <c r="A184" s="1011"/>
      <c r="B184" s="1031"/>
      <c r="C184" s="656" t="s">
        <v>2062</v>
      </c>
      <c r="D184" s="1010" t="s">
        <v>2055</v>
      </c>
      <c r="E184" s="1010"/>
      <c r="F184" s="1010"/>
      <c r="G184" s="650"/>
      <c r="H184" s="650"/>
      <c r="I184" s="647"/>
      <c r="J184" s="658">
        <f>J183*0.1</f>
        <v>470429.95</v>
      </c>
      <c r="K184" s="1034"/>
    </row>
    <row r="185" spans="1:11" s="649" customFormat="1" ht="20.100000000000001" customHeight="1">
      <c r="A185" s="1011"/>
      <c r="B185" s="1031"/>
      <c r="C185" s="1010" t="s">
        <v>2063</v>
      </c>
      <c r="D185" s="1011" t="s">
        <v>2064</v>
      </c>
      <c r="E185" s="1011" t="s">
        <v>2065</v>
      </c>
      <c r="F185" s="1011"/>
      <c r="G185" s="650"/>
      <c r="H185" s="650"/>
      <c r="I185" s="647"/>
      <c r="J185" s="647">
        <v>30000</v>
      </c>
      <c r="K185" s="1034"/>
    </row>
    <row r="186" spans="1:11" s="649" customFormat="1" ht="20.100000000000001" customHeight="1">
      <c r="A186" s="1011"/>
      <c r="B186" s="1031"/>
      <c r="C186" s="1010"/>
      <c r="D186" s="1011"/>
      <c r="E186" s="1011" t="s">
        <v>2066</v>
      </c>
      <c r="F186" s="1011"/>
      <c r="G186" s="650"/>
      <c r="H186" s="650"/>
      <c r="I186" s="647"/>
      <c r="J186" s="647">
        <v>30000</v>
      </c>
      <c r="K186" s="1034"/>
    </row>
    <row r="187" spans="1:11" s="649" customFormat="1" ht="20.100000000000001" customHeight="1">
      <c r="A187" s="1011"/>
      <c r="B187" s="1031"/>
      <c r="C187" s="1010"/>
      <c r="D187" s="650" t="s">
        <v>2067</v>
      </c>
      <c r="E187" s="1011" t="s">
        <v>2068</v>
      </c>
      <c r="F187" s="1011"/>
      <c r="G187" s="650"/>
      <c r="H187" s="650"/>
      <c r="I187" s="647"/>
      <c r="J187" s="647">
        <v>20000</v>
      </c>
      <c r="K187" s="1034"/>
    </row>
    <row r="188" spans="1:11" s="649" customFormat="1" ht="20.100000000000001" customHeight="1">
      <c r="A188" s="1011"/>
      <c r="B188" s="1031"/>
      <c r="C188" s="1010"/>
      <c r="D188" s="1011" t="s">
        <v>1415</v>
      </c>
      <c r="E188" s="1011"/>
      <c r="F188" s="1011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1034"/>
    </row>
    <row r="189" spans="1:11" s="649" customFormat="1" ht="20.100000000000001" customHeight="1">
      <c r="A189" s="1011"/>
      <c r="B189" s="1031"/>
      <c r="C189" s="1010"/>
      <c r="D189" s="1011" t="s">
        <v>2069</v>
      </c>
      <c r="E189" s="1011"/>
      <c r="F189" s="650" t="s">
        <v>2070</v>
      </c>
      <c r="G189" s="650"/>
      <c r="H189" s="650"/>
      <c r="I189" s="647"/>
      <c r="J189" s="647">
        <v>18000</v>
      </c>
      <c r="K189" s="1034"/>
    </row>
    <row r="190" spans="1:11" s="649" customFormat="1" ht="20.100000000000001" customHeight="1">
      <c r="A190" s="1011"/>
      <c r="B190" s="1031"/>
      <c r="C190" s="1010"/>
      <c r="D190" s="1008" t="s">
        <v>2071</v>
      </c>
      <c r="E190" s="1009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1034"/>
    </row>
    <row r="191" spans="1:11" s="649" customFormat="1" ht="20.100000000000001" customHeight="1">
      <c r="A191" s="1011"/>
      <c r="B191" s="1031"/>
      <c r="C191" s="1010" t="s">
        <v>24</v>
      </c>
      <c r="D191" s="1010"/>
      <c r="E191" s="1010"/>
      <c r="F191" s="1010"/>
      <c r="G191" s="650"/>
      <c r="H191" s="661"/>
      <c r="I191" s="647"/>
      <c r="J191" s="658">
        <f>SUM(J185:J190)</f>
        <v>204625.48</v>
      </c>
      <c r="K191" s="1034"/>
    </row>
    <row r="192" spans="1:11" s="649" customFormat="1" ht="20.100000000000001" customHeight="1">
      <c r="A192" s="1011"/>
      <c r="B192" s="1032"/>
      <c r="C192" s="1010" t="s">
        <v>2073</v>
      </c>
      <c r="D192" s="1010"/>
      <c r="E192" s="1010"/>
      <c r="F192" s="1010"/>
      <c r="G192" s="650"/>
      <c r="H192" s="650"/>
      <c r="I192" s="650"/>
      <c r="J192" s="658">
        <f>J183+J184+J191</f>
        <v>5379354.9300000006</v>
      </c>
      <c r="K192" s="1035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79" t="s">
        <v>764</v>
      </c>
      <c r="B1" s="980"/>
      <c r="C1" s="980"/>
      <c r="D1" s="980"/>
      <c r="E1" s="980"/>
      <c r="F1" s="980"/>
      <c r="G1" s="980"/>
      <c r="H1" s="980"/>
      <c r="I1" s="980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46" t="s">
        <v>2080</v>
      </c>
      <c r="B1" s="1047"/>
      <c r="C1" s="1047"/>
      <c r="D1" s="1047"/>
      <c r="E1" s="1047"/>
      <c r="F1" s="1047"/>
      <c r="G1" s="1047"/>
      <c r="H1" s="1047"/>
      <c r="I1" s="1047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48" t="s">
        <v>2091</v>
      </c>
      <c r="B1" s="1049"/>
      <c r="C1" s="1049"/>
      <c r="D1" s="1049"/>
      <c r="E1" s="1049"/>
      <c r="F1" s="1049"/>
      <c r="G1" s="1049"/>
      <c r="H1" s="1049"/>
      <c r="I1" s="1049"/>
      <c r="J1" s="1049"/>
      <c r="K1" s="1049"/>
      <c r="L1" s="1049"/>
      <c r="M1" s="1049"/>
      <c r="N1" s="1049"/>
      <c r="O1" s="1049"/>
      <c r="P1" s="1049"/>
      <c r="Q1" s="1049"/>
      <c r="R1" s="1049"/>
      <c r="S1" s="1049"/>
      <c r="T1" s="1049"/>
      <c r="U1" s="1049"/>
      <c r="V1" s="1049"/>
      <c r="W1" s="1049"/>
      <c r="X1" s="1049"/>
      <c r="Y1" s="1049"/>
      <c r="Z1" s="1049"/>
      <c r="AA1" s="1049"/>
      <c r="AB1" s="1049"/>
      <c r="AC1" s="1049"/>
      <c r="AD1" s="1049"/>
      <c r="AE1" s="1049"/>
      <c r="AF1" s="1049"/>
      <c r="AG1" s="1049"/>
      <c r="AH1" s="1049"/>
      <c r="AI1" s="1049"/>
      <c r="AJ1" s="1049"/>
      <c r="AK1" s="1049"/>
      <c r="AL1" s="1049"/>
      <c r="AM1" s="1049"/>
      <c r="AN1" s="1049"/>
      <c r="AO1" s="1050"/>
      <c r="AP1" s="1050"/>
      <c r="AQ1" s="1050"/>
    </row>
    <row r="2" spans="1:43">
      <c r="A2" s="1051" t="s">
        <v>594</v>
      </c>
      <c r="B2" s="1051" t="s">
        <v>595</v>
      </c>
      <c r="C2" s="1051" t="s">
        <v>596</v>
      </c>
      <c r="D2" s="1051" t="s">
        <v>2092</v>
      </c>
      <c r="E2" s="1051" t="s">
        <v>597</v>
      </c>
      <c r="F2" s="1051"/>
      <c r="G2" s="1051"/>
      <c r="H2" s="1051"/>
      <c r="I2" s="1051"/>
      <c r="J2" s="1051" t="s">
        <v>2093</v>
      </c>
      <c r="K2" s="1051"/>
      <c r="L2" s="1051"/>
      <c r="M2" s="1051"/>
      <c r="N2" s="1051"/>
      <c r="O2" s="835" t="s">
        <v>2094</v>
      </c>
      <c r="P2" s="835"/>
      <c r="Q2" s="835"/>
      <c r="R2" s="835"/>
      <c r="S2" s="835"/>
      <c r="T2" s="835" t="s">
        <v>598</v>
      </c>
      <c r="U2" s="835"/>
      <c r="V2" s="835"/>
      <c r="W2" s="835"/>
      <c r="X2" s="835"/>
      <c r="Y2" s="835" t="s">
        <v>599</v>
      </c>
      <c r="Z2" s="835"/>
      <c r="AA2" s="835"/>
      <c r="AB2" s="835"/>
      <c r="AC2" s="835"/>
      <c r="AD2" s="1051" t="s">
        <v>2095</v>
      </c>
      <c r="AE2" s="1051"/>
      <c r="AF2" s="1051"/>
      <c r="AG2" s="1051"/>
      <c r="AH2" s="1051"/>
      <c r="AI2" s="1051"/>
      <c r="AJ2" s="1051"/>
      <c r="AK2" s="1051"/>
      <c r="AL2" s="1051"/>
      <c r="AM2" s="1051"/>
      <c r="AN2" s="1052">
        <v>0.6</v>
      </c>
      <c r="AO2" s="1054" t="s">
        <v>2096</v>
      </c>
      <c r="AP2" s="1055" t="s">
        <v>2163</v>
      </c>
      <c r="AQ2" s="1056" t="s">
        <v>2164</v>
      </c>
    </row>
    <row r="3" spans="1:43" ht="33.75">
      <c r="A3" s="1051"/>
      <c r="B3" s="1051"/>
      <c r="C3" s="1051"/>
      <c r="D3" s="1051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53"/>
      <c r="AO3" s="1053"/>
      <c r="AP3" s="1053"/>
      <c r="AQ3" s="1057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O80"/>
  <sheetViews>
    <sheetView topLeftCell="A28" workbookViewId="0">
      <selection sqref="A1:O1"/>
    </sheetView>
  </sheetViews>
  <sheetFormatPr defaultRowHeight="11.25"/>
  <cols>
    <col min="1" max="1" width="4.875" style="115" customWidth="1"/>
    <col min="2" max="2" width="17.75" style="86" customWidth="1"/>
    <col min="3" max="3" width="7.75" style="86" customWidth="1"/>
    <col min="4" max="4" width="11.375" style="116" customWidth="1"/>
    <col min="5" max="15" width="15.625" style="86" customWidth="1"/>
    <col min="16" max="16384" width="9" style="86"/>
  </cols>
  <sheetData>
    <row r="1" spans="1:15" ht="25.5">
      <c r="A1" s="1061" t="s">
        <v>2443</v>
      </c>
      <c r="B1" s="1062"/>
      <c r="C1" s="1062"/>
      <c r="D1" s="1062"/>
      <c r="E1" s="1062"/>
      <c r="F1" s="1062"/>
      <c r="G1" s="1062"/>
      <c r="H1" s="1062"/>
      <c r="I1" s="1062"/>
      <c r="J1" s="1062"/>
      <c r="K1" s="1062"/>
      <c r="L1" s="1062"/>
      <c r="M1" s="1062"/>
      <c r="N1" s="1062"/>
      <c r="O1" s="1063"/>
    </row>
    <row r="2" spans="1:15" ht="20.100000000000001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2345</v>
      </c>
      <c r="F2" s="88" t="s">
        <v>2346</v>
      </c>
      <c r="G2" s="88" t="s">
        <v>2347</v>
      </c>
      <c r="H2" s="88" t="s">
        <v>2348</v>
      </c>
      <c r="I2" s="88" t="s">
        <v>2349</v>
      </c>
      <c r="J2" s="88" t="s">
        <v>2350</v>
      </c>
      <c r="K2" s="88" t="s">
        <v>2351</v>
      </c>
      <c r="L2" s="88" t="s">
        <v>2352</v>
      </c>
      <c r="M2" s="88" t="s">
        <v>24</v>
      </c>
      <c r="N2" s="89" t="s">
        <v>2353</v>
      </c>
      <c r="O2" s="89" t="s">
        <v>2354</v>
      </c>
    </row>
    <row r="3" spans="1:15" ht="20.100000000000001" customHeight="1">
      <c r="A3" s="90" t="s">
        <v>26</v>
      </c>
      <c r="B3" s="91" t="s">
        <v>27</v>
      </c>
      <c r="C3" s="91"/>
      <c r="D3" s="92" t="s">
        <v>28</v>
      </c>
      <c r="E3" s="788">
        <f>E4+E31+E42</f>
        <v>11415859.949999999</v>
      </c>
      <c r="F3" s="785">
        <f t="shared" ref="F3:L3" si="0">F4+F31+F42</f>
        <v>67959695.140000001</v>
      </c>
      <c r="G3" s="788">
        <f t="shared" si="0"/>
        <v>16110144.359999999</v>
      </c>
      <c r="H3" s="788">
        <f t="shared" si="0"/>
        <v>66893732.820000008</v>
      </c>
      <c r="I3" s="788">
        <f t="shared" si="0"/>
        <v>13733065.369999997</v>
      </c>
      <c r="J3" s="788">
        <f t="shared" si="0"/>
        <v>2988008.0300000003</v>
      </c>
      <c r="K3" s="788">
        <f t="shared" si="0"/>
        <v>52352009.43999999</v>
      </c>
      <c r="L3" s="788">
        <f t="shared" si="0"/>
        <v>22554850.43</v>
      </c>
      <c r="M3" s="785">
        <f t="shared" ref="M3:M66" si="1">SUM(E3:L3)</f>
        <v>254007365.54000002</v>
      </c>
      <c r="N3" s="736">
        <v>237294434.16000003</v>
      </c>
      <c r="O3" s="114">
        <f>M3-N3</f>
        <v>16712931.379999995</v>
      </c>
    </row>
    <row r="4" spans="1:15" ht="20.100000000000001" customHeight="1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9966812.5199999996</v>
      </c>
      <c r="F4" s="785">
        <f t="shared" ref="F4:L4" si="2">F5+F8+F12+F15+F20+F25+F27+F29+F30</f>
        <v>55591054.549999997</v>
      </c>
      <c r="G4" s="19">
        <f t="shared" si="2"/>
        <v>13763451.33</v>
      </c>
      <c r="H4" s="19">
        <f t="shared" si="2"/>
        <v>54284069.290000007</v>
      </c>
      <c r="I4" s="19">
        <f t="shared" si="2"/>
        <v>11648698.329999998</v>
      </c>
      <c r="J4" s="19">
        <f t="shared" si="2"/>
        <v>2590228.89</v>
      </c>
      <c r="K4" s="19">
        <f t="shared" si="2"/>
        <v>44471269.86999999</v>
      </c>
      <c r="L4" s="19">
        <f t="shared" si="2"/>
        <v>19424681.559999999</v>
      </c>
      <c r="M4" s="785">
        <f t="shared" si="1"/>
        <v>211740266.33999997</v>
      </c>
      <c r="N4" s="1058">
        <v>203910305.37</v>
      </c>
      <c r="O4" s="1058">
        <f>M4-N4</f>
        <v>7829960.969999969</v>
      </c>
    </row>
    <row r="5" spans="1:15" ht="20.100000000000001" customHeight="1">
      <c r="A5" s="90" t="s">
        <v>31</v>
      </c>
      <c r="B5" s="91" t="s">
        <v>32</v>
      </c>
      <c r="C5" s="91"/>
      <c r="D5" s="92" t="s">
        <v>28</v>
      </c>
      <c r="E5" s="19">
        <f>E6+E7</f>
        <v>1499371</v>
      </c>
      <c r="F5" s="785">
        <f t="shared" ref="F5:L5" si="3">F6+F7</f>
        <v>7517280</v>
      </c>
      <c r="G5" s="19">
        <f t="shared" si="3"/>
        <v>1783173</v>
      </c>
      <c r="H5" s="19">
        <f t="shared" si="3"/>
        <v>7720879</v>
      </c>
      <c r="I5" s="19">
        <f t="shared" si="3"/>
        <v>1484832</v>
      </c>
      <c r="J5" s="19">
        <f t="shared" si="3"/>
        <v>408468</v>
      </c>
      <c r="K5" s="19">
        <f t="shared" si="3"/>
        <v>6316201</v>
      </c>
      <c r="L5" s="19">
        <f t="shared" si="3"/>
        <v>2624153</v>
      </c>
      <c r="M5" s="785">
        <f t="shared" si="1"/>
        <v>29354357</v>
      </c>
      <c r="N5" s="1059"/>
      <c r="O5" s="1059"/>
    </row>
    <row r="6" spans="1:15" ht="20.100000000000001" customHeight="1">
      <c r="A6" s="90" t="s">
        <v>33</v>
      </c>
      <c r="B6" s="91" t="s">
        <v>34</v>
      </c>
      <c r="C6" s="91" t="s">
        <v>35</v>
      </c>
      <c r="D6" s="92" t="s">
        <v>36</v>
      </c>
      <c r="E6" s="22">
        <f>581991.21+19440.79+65276*3</f>
        <v>797260</v>
      </c>
      <c r="F6" s="789">
        <v>4057311</v>
      </c>
      <c r="G6" s="22">
        <v>1106352</v>
      </c>
      <c r="H6" s="22">
        <v>4076818</v>
      </c>
      <c r="I6" s="22">
        <v>908780</v>
      </c>
      <c r="J6" s="22">
        <v>185508</v>
      </c>
      <c r="K6" s="22">
        <v>3225911</v>
      </c>
      <c r="L6" s="22">
        <v>1542204</v>
      </c>
      <c r="M6" s="785">
        <f t="shared" si="1"/>
        <v>15900144</v>
      </c>
      <c r="N6" s="1059"/>
      <c r="O6" s="1059"/>
    </row>
    <row r="7" spans="1:15" ht="20.100000000000001" customHeight="1">
      <c r="A7" s="90" t="s">
        <v>37</v>
      </c>
      <c r="B7" s="91" t="s">
        <v>38</v>
      </c>
      <c r="C7" s="91" t="s">
        <v>35</v>
      </c>
      <c r="D7" s="92" t="s">
        <v>36</v>
      </c>
      <c r="E7" s="22">
        <f>531087+57008*3</f>
        <v>702111</v>
      </c>
      <c r="F7" s="789">
        <v>3459969</v>
      </c>
      <c r="G7" s="22">
        <v>676821</v>
      </c>
      <c r="H7" s="22">
        <v>3644061</v>
      </c>
      <c r="I7" s="22">
        <v>576052</v>
      </c>
      <c r="J7" s="22">
        <v>222960</v>
      </c>
      <c r="K7" s="22">
        <v>3090290</v>
      </c>
      <c r="L7" s="22">
        <v>1081949</v>
      </c>
      <c r="M7" s="785">
        <f t="shared" si="1"/>
        <v>13454213</v>
      </c>
      <c r="N7" s="1059"/>
      <c r="O7" s="1059"/>
    </row>
    <row r="8" spans="1:15" ht="20.100000000000001" customHeight="1">
      <c r="A8" s="90" t="s">
        <v>39</v>
      </c>
      <c r="B8" s="91" t="s">
        <v>40</v>
      </c>
      <c r="C8" s="91"/>
      <c r="D8" s="92" t="s">
        <v>28</v>
      </c>
      <c r="E8" s="19">
        <f>E9+E10</f>
        <v>159324</v>
      </c>
      <c r="F8" s="785">
        <f t="shared" ref="F8:L8" si="4">F9+F10</f>
        <v>797866</v>
      </c>
      <c r="G8" s="19">
        <f t="shared" si="4"/>
        <v>239772</v>
      </c>
      <c r="H8" s="19">
        <f t="shared" si="4"/>
        <v>769350</v>
      </c>
      <c r="I8" s="19">
        <f t="shared" si="4"/>
        <v>192504</v>
      </c>
      <c r="J8" s="19">
        <f t="shared" si="4"/>
        <v>37644</v>
      </c>
      <c r="K8" s="19">
        <f t="shared" si="4"/>
        <v>629504</v>
      </c>
      <c r="L8" s="19">
        <f t="shared" si="4"/>
        <v>315756</v>
      </c>
      <c r="M8" s="785">
        <f t="shared" si="1"/>
        <v>3141720</v>
      </c>
      <c r="N8" s="1059"/>
      <c r="O8" s="1059"/>
    </row>
    <row r="9" spans="1:15" ht="20.100000000000001" customHeight="1">
      <c r="A9" s="90" t="s">
        <v>41</v>
      </c>
      <c r="B9" s="91" t="s">
        <v>42</v>
      </c>
      <c r="C9" s="91" t="s">
        <v>35</v>
      </c>
      <c r="D9" s="92" t="s">
        <v>36</v>
      </c>
      <c r="E9" s="22">
        <f>2027+219*3</f>
        <v>2684</v>
      </c>
      <c r="F9" s="789">
        <v>12466</v>
      </c>
      <c r="G9" s="22">
        <v>12732</v>
      </c>
      <c r="H9" s="22">
        <v>12990</v>
      </c>
      <c r="I9" s="22">
        <v>2424</v>
      </c>
      <c r="J9" s="22">
        <v>684</v>
      </c>
      <c r="K9" s="22">
        <v>11304</v>
      </c>
      <c r="L9" s="22">
        <v>4236</v>
      </c>
      <c r="M9" s="785">
        <f t="shared" si="1"/>
        <v>59520</v>
      </c>
      <c r="N9" s="1059"/>
      <c r="O9" s="1059"/>
    </row>
    <row r="10" spans="1:15" ht="20.100000000000001" customHeight="1">
      <c r="A10" s="90" t="s">
        <v>43</v>
      </c>
      <c r="B10" s="91" t="s">
        <v>44</v>
      </c>
      <c r="C10" s="91"/>
      <c r="D10" s="92" t="s">
        <v>28</v>
      </c>
      <c r="E10" s="19">
        <f>E11</f>
        <v>156640</v>
      </c>
      <c r="F10" s="785">
        <f t="shared" ref="F10:L10" si="5">F11</f>
        <v>785400</v>
      </c>
      <c r="G10" s="19">
        <f t="shared" si="5"/>
        <v>227040</v>
      </c>
      <c r="H10" s="19">
        <f t="shared" si="5"/>
        <v>756360</v>
      </c>
      <c r="I10" s="19">
        <f t="shared" si="5"/>
        <v>190080</v>
      </c>
      <c r="J10" s="19">
        <f t="shared" si="5"/>
        <v>36960</v>
      </c>
      <c r="K10" s="19">
        <f t="shared" si="5"/>
        <v>618200</v>
      </c>
      <c r="L10" s="19">
        <f t="shared" si="5"/>
        <v>311520</v>
      </c>
      <c r="M10" s="785">
        <f t="shared" si="1"/>
        <v>3082200</v>
      </c>
      <c r="N10" s="1059"/>
      <c r="O10" s="1059"/>
    </row>
    <row r="11" spans="1:15" s="96" customFormat="1" ht="20.100000000000001" customHeight="1">
      <c r="A11" s="90" t="s">
        <v>45</v>
      </c>
      <c r="B11" s="95" t="s">
        <v>2299</v>
      </c>
      <c r="C11" s="95" t="s">
        <v>35</v>
      </c>
      <c r="D11" s="92" t="s">
        <v>36</v>
      </c>
      <c r="E11" s="22">
        <f>118360+12760*3</f>
        <v>156640</v>
      </c>
      <c r="F11" s="789">
        <v>785400</v>
      </c>
      <c r="G11" s="22">
        <v>227040</v>
      </c>
      <c r="H11" s="22">
        <v>756360</v>
      </c>
      <c r="I11" s="22">
        <v>190080</v>
      </c>
      <c r="J11" s="22">
        <v>36960</v>
      </c>
      <c r="K11" s="22">
        <v>618200</v>
      </c>
      <c r="L11" s="22">
        <v>311520</v>
      </c>
      <c r="M11" s="785">
        <f t="shared" si="1"/>
        <v>3082200</v>
      </c>
      <c r="N11" s="1059"/>
      <c r="O11" s="1059"/>
    </row>
    <row r="12" spans="1:15" ht="20.100000000000001" customHeight="1">
      <c r="A12" s="90" t="s">
        <v>47</v>
      </c>
      <c r="B12" s="91" t="s">
        <v>48</v>
      </c>
      <c r="C12" s="91"/>
      <c r="D12" s="92" t="s">
        <v>49</v>
      </c>
      <c r="E12" s="19">
        <f>E13+E14</f>
        <v>40338.29</v>
      </c>
      <c r="F12" s="785">
        <f t="shared" ref="F12:L12" si="6">F13+F14</f>
        <v>240191.46000000002</v>
      </c>
      <c r="G12" s="19">
        <f t="shared" si="6"/>
        <v>54829.990000000005</v>
      </c>
      <c r="H12" s="19">
        <f t="shared" si="6"/>
        <v>258152.84999999998</v>
      </c>
      <c r="I12" s="19">
        <f t="shared" si="6"/>
        <v>55194.92</v>
      </c>
      <c r="J12" s="19">
        <f t="shared" si="6"/>
        <v>11050.55</v>
      </c>
      <c r="K12" s="19">
        <f t="shared" si="6"/>
        <v>209739.76</v>
      </c>
      <c r="L12" s="19">
        <f t="shared" si="6"/>
        <v>81520.59</v>
      </c>
      <c r="M12" s="785">
        <f t="shared" si="1"/>
        <v>951018.41</v>
      </c>
      <c r="N12" s="1059"/>
      <c r="O12" s="1059"/>
    </row>
    <row r="13" spans="1:15" s="96" customFormat="1" ht="20.100000000000001" customHeight="1">
      <c r="A13" s="90" t="s">
        <v>50</v>
      </c>
      <c r="B13" s="95" t="s">
        <v>2300</v>
      </c>
      <c r="C13" s="95" t="s">
        <v>35</v>
      </c>
      <c r="D13" s="92" t="s">
        <v>2301</v>
      </c>
      <c r="E13" s="22">
        <f>7276.67+(880.81-29.11-25.9+16)*3-29.11-25.9+16*2</f>
        <v>9779.06</v>
      </c>
      <c r="F13" s="789">
        <v>69008.08</v>
      </c>
      <c r="G13" s="22">
        <v>13292.260000000002</v>
      </c>
      <c r="H13" s="22">
        <v>87416.65</v>
      </c>
      <c r="I13" s="22">
        <v>18690.23</v>
      </c>
      <c r="J13" s="22">
        <v>2679.05</v>
      </c>
      <c r="K13" s="22">
        <v>71022.570000000007</v>
      </c>
      <c r="L13" s="22">
        <v>19762.43</v>
      </c>
      <c r="M13" s="785">
        <f t="shared" si="1"/>
        <v>291650.33</v>
      </c>
      <c r="N13" s="1059"/>
      <c r="O13" s="1059"/>
    </row>
    <row r="14" spans="1:15" s="96" customFormat="1" ht="20.100000000000001" customHeight="1">
      <c r="A14" s="90" t="s">
        <v>52</v>
      </c>
      <c r="B14" s="95" t="s">
        <v>2302</v>
      </c>
      <c r="C14" s="95" t="s">
        <v>35</v>
      </c>
      <c r="D14" s="92" t="s">
        <v>2301</v>
      </c>
      <c r="E14" s="22">
        <f>22739.24+(2752.53-90.96-80.94+50)*3-90.96-80.94+50*2</f>
        <v>30559.230000000003</v>
      </c>
      <c r="F14" s="789">
        <v>171183.38</v>
      </c>
      <c r="G14" s="22">
        <v>41537.730000000003</v>
      </c>
      <c r="H14" s="22">
        <v>170736.19999999998</v>
      </c>
      <c r="I14" s="22">
        <v>36504.69</v>
      </c>
      <c r="J14" s="22">
        <v>8371.5</v>
      </c>
      <c r="K14" s="22">
        <v>138717.19</v>
      </c>
      <c r="L14" s="22">
        <v>61758.16</v>
      </c>
      <c r="M14" s="785">
        <f t="shared" si="1"/>
        <v>659368.08000000007</v>
      </c>
      <c r="N14" s="1059"/>
      <c r="O14" s="1059"/>
    </row>
    <row r="15" spans="1:15" ht="20.100000000000001" customHeight="1">
      <c r="A15" s="90" t="s">
        <v>53</v>
      </c>
      <c r="B15" s="91" t="s">
        <v>55</v>
      </c>
      <c r="C15" s="91"/>
      <c r="D15" s="92" t="s">
        <v>28</v>
      </c>
      <c r="E15" s="19">
        <f>E16+E17+E18+E19</f>
        <v>5698900</v>
      </c>
      <c r="F15" s="785">
        <f t="shared" ref="F15:L15" si="7">F16+F17+F18+F19</f>
        <v>32666147</v>
      </c>
      <c r="G15" s="19">
        <f t="shared" si="7"/>
        <v>8171290</v>
      </c>
      <c r="H15" s="19">
        <f t="shared" si="7"/>
        <v>31164031</v>
      </c>
      <c r="I15" s="19">
        <f t="shared" si="7"/>
        <v>6841080</v>
      </c>
      <c r="J15" s="19">
        <f t="shared" si="7"/>
        <v>1407910</v>
      </c>
      <c r="K15" s="19">
        <f t="shared" si="7"/>
        <v>25658139</v>
      </c>
      <c r="L15" s="19">
        <f t="shared" si="7"/>
        <v>11211770</v>
      </c>
      <c r="M15" s="785">
        <f t="shared" si="1"/>
        <v>122819267</v>
      </c>
      <c r="N15" s="1059"/>
      <c r="O15" s="1059"/>
    </row>
    <row r="16" spans="1:15" ht="20.100000000000001" customHeight="1">
      <c r="A16" s="90" t="s">
        <v>54</v>
      </c>
      <c r="B16" s="97" t="s">
        <v>57</v>
      </c>
      <c r="C16" s="97" t="s">
        <v>35</v>
      </c>
      <c r="D16" s="98" t="s">
        <v>2303</v>
      </c>
      <c r="E16" s="99">
        <v>5352370</v>
      </c>
      <c r="F16" s="790">
        <v>29690811</v>
      </c>
      <c r="G16" s="99">
        <v>7675126</v>
      </c>
      <c r="H16" s="99">
        <v>28132626</v>
      </c>
      <c r="I16" s="99">
        <v>6383436</v>
      </c>
      <c r="J16" s="99">
        <v>1365910</v>
      </c>
      <c r="K16" s="99">
        <v>23027243</v>
      </c>
      <c r="L16" s="99">
        <v>10556254</v>
      </c>
      <c r="M16" s="785">
        <f t="shared" si="1"/>
        <v>112183776</v>
      </c>
      <c r="N16" s="1059"/>
      <c r="O16" s="1059"/>
    </row>
    <row r="17" spans="1:15" ht="20.100000000000001" customHeight="1">
      <c r="A17" s="90" t="s">
        <v>56</v>
      </c>
      <c r="B17" s="97" t="s">
        <v>60</v>
      </c>
      <c r="C17" s="97" t="s">
        <v>35</v>
      </c>
      <c r="D17" s="98" t="s">
        <v>61</v>
      </c>
      <c r="E17" s="99">
        <f>124671+15953+13953*2</f>
        <v>168530</v>
      </c>
      <c r="F17" s="790">
        <v>318324</v>
      </c>
      <c r="G17" s="99">
        <v>238164</v>
      </c>
      <c r="H17" s="99">
        <v>571764</v>
      </c>
      <c r="I17" s="99">
        <v>241644</v>
      </c>
      <c r="J17" s="99"/>
      <c r="K17" s="99">
        <v>558532</v>
      </c>
      <c r="L17" s="99">
        <v>301516</v>
      </c>
      <c r="M17" s="785">
        <f t="shared" si="1"/>
        <v>2398474</v>
      </c>
      <c r="N17" s="1059"/>
      <c r="O17" s="1059"/>
    </row>
    <row r="18" spans="1:15" ht="20.100000000000001" customHeight="1">
      <c r="A18" s="90" t="s">
        <v>59</v>
      </c>
      <c r="B18" s="97" t="s">
        <v>2304</v>
      </c>
      <c r="C18" s="97" t="s">
        <v>35</v>
      </c>
      <c r="D18" s="92" t="s">
        <v>36</v>
      </c>
      <c r="E18" s="99">
        <f>29*500*2+30*500*4+30*500+29*500+30*500+500*2+29*500*3</f>
        <v>178000</v>
      </c>
      <c r="F18" s="790">
        <v>892500</v>
      </c>
      <c r="G18" s="99">
        <v>258000</v>
      </c>
      <c r="H18" s="99">
        <v>859500</v>
      </c>
      <c r="I18" s="99">
        <v>216000</v>
      </c>
      <c r="J18" s="99">
        <v>42000</v>
      </c>
      <c r="K18" s="99">
        <v>702500</v>
      </c>
      <c r="L18" s="99">
        <v>354000</v>
      </c>
      <c r="M18" s="785">
        <f t="shared" si="1"/>
        <v>3502500</v>
      </c>
      <c r="N18" s="1059"/>
      <c r="O18" s="1059"/>
    </row>
    <row r="19" spans="1:15" ht="20.100000000000001" customHeight="1">
      <c r="A19" s="90" t="s">
        <v>62</v>
      </c>
      <c r="B19" s="97" t="s">
        <v>2305</v>
      </c>
      <c r="C19" s="97" t="s">
        <v>35</v>
      </c>
      <c r="D19" s="92" t="s">
        <v>36</v>
      </c>
      <c r="E19" s="99"/>
      <c r="F19" s="790">
        <v>1764512</v>
      </c>
      <c r="G19" s="99"/>
      <c r="H19" s="99">
        <f>1540141+60000</f>
        <v>1600141</v>
      </c>
      <c r="I19" s="99"/>
      <c r="J19" s="99"/>
      <c r="K19" s="99">
        <f>1349864+20000</f>
        <v>1369864</v>
      </c>
      <c r="L19" s="99"/>
      <c r="M19" s="785">
        <f t="shared" si="1"/>
        <v>4734517</v>
      </c>
      <c r="N19" s="1059"/>
      <c r="O19" s="1059"/>
    </row>
    <row r="20" spans="1:15" ht="20.100000000000001" customHeight="1">
      <c r="A20" s="90" t="s">
        <v>64</v>
      </c>
      <c r="B20" s="91" t="s">
        <v>63</v>
      </c>
      <c r="C20" s="91"/>
      <c r="D20" s="98" t="s">
        <v>28</v>
      </c>
      <c r="E20" s="100">
        <f>E21+E22</f>
        <v>663340.49</v>
      </c>
      <c r="F20" s="791">
        <f t="shared" ref="F20:L20" si="8">F21+F22</f>
        <v>3694364.46</v>
      </c>
      <c r="G20" s="100">
        <f t="shared" si="8"/>
        <v>908650.32</v>
      </c>
      <c r="H20" s="100">
        <f t="shared" si="8"/>
        <v>3721550.2</v>
      </c>
      <c r="I20" s="100">
        <f t="shared" si="8"/>
        <v>794074.28</v>
      </c>
      <c r="J20" s="100">
        <f t="shared" si="8"/>
        <v>180212.6</v>
      </c>
      <c r="K20" s="100">
        <f t="shared" si="8"/>
        <v>3004066.62</v>
      </c>
      <c r="L20" s="100">
        <f t="shared" si="8"/>
        <v>1337371.3899999999</v>
      </c>
      <c r="M20" s="785">
        <f t="shared" si="1"/>
        <v>14303630.359999999</v>
      </c>
      <c r="N20" s="1059"/>
      <c r="O20" s="1059"/>
    </row>
    <row r="21" spans="1:15" ht="20.100000000000001" customHeight="1">
      <c r="A21" s="90" t="s">
        <v>67</v>
      </c>
      <c r="B21" s="91" t="s">
        <v>2306</v>
      </c>
      <c r="C21" s="91" t="s">
        <v>66</v>
      </c>
      <c r="D21" s="92" t="s">
        <v>2301</v>
      </c>
      <c r="E21" s="22">
        <f>503714.65-53895+(55049.16-1819.11-1618.8+1000)*3-1819.11-1618.8+1000*2</f>
        <v>606215.49</v>
      </c>
      <c r="F21" s="790">
        <v>3395534.46</v>
      </c>
      <c r="G21" s="99">
        <v>824000.32</v>
      </c>
      <c r="H21" s="99">
        <v>3386730.52</v>
      </c>
      <c r="I21" s="99">
        <v>724214.28</v>
      </c>
      <c r="J21" s="99">
        <v>166117.6</v>
      </c>
      <c r="K21" s="99">
        <v>2751927.72</v>
      </c>
      <c r="L21" s="99">
        <v>1225156.3899999999</v>
      </c>
      <c r="M21" s="785">
        <f t="shared" si="1"/>
        <v>13079896.780000001</v>
      </c>
      <c r="N21" s="1059"/>
      <c r="O21" s="1059"/>
    </row>
    <row r="22" spans="1:15" ht="20.100000000000001" customHeight="1">
      <c r="A22" s="90" t="s">
        <v>69</v>
      </c>
      <c r="B22" s="91" t="s">
        <v>2307</v>
      </c>
      <c r="C22" s="91"/>
      <c r="D22" s="98" t="s">
        <v>51</v>
      </c>
      <c r="E22" s="100">
        <f>E23+E24</f>
        <v>57125</v>
      </c>
      <c r="F22" s="791">
        <f t="shared" ref="F22:L22" si="9">F23+F24</f>
        <v>298830</v>
      </c>
      <c r="G22" s="100">
        <f t="shared" si="9"/>
        <v>84650</v>
      </c>
      <c r="H22" s="100">
        <f t="shared" si="9"/>
        <v>334819.68</v>
      </c>
      <c r="I22" s="100">
        <f t="shared" si="9"/>
        <v>69860</v>
      </c>
      <c r="J22" s="100">
        <f t="shared" si="9"/>
        <v>14095</v>
      </c>
      <c r="K22" s="100">
        <f t="shared" si="9"/>
        <v>252138.9</v>
      </c>
      <c r="L22" s="100">
        <f t="shared" si="9"/>
        <v>112215</v>
      </c>
      <c r="M22" s="785">
        <f t="shared" si="1"/>
        <v>1223733.5799999998</v>
      </c>
      <c r="N22" s="1059"/>
      <c r="O22" s="1059"/>
    </row>
    <row r="23" spans="1:15" ht="20.100000000000001" customHeight="1">
      <c r="A23" s="90" t="s">
        <v>72</v>
      </c>
      <c r="B23" s="91" t="s">
        <v>70</v>
      </c>
      <c r="C23" s="91" t="s">
        <v>66</v>
      </c>
      <c r="D23" s="92" t="s">
        <v>2308</v>
      </c>
      <c r="E23" s="99"/>
      <c r="F23" s="790"/>
      <c r="G23" s="99"/>
      <c r="H23" s="99">
        <f>11834.68+700</f>
        <v>12534.68</v>
      </c>
      <c r="I23" s="99">
        <v>0</v>
      </c>
      <c r="J23" s="99"/>
      <c r="K23" s="99"/>
      <c r="L23" s="99"/>
      <c r="M23" s="785">
        <f t="shared" si="1"/>
        <v>12534.68</v>
      </c>
      <c r="N23" s="1059"/>
      <c r="O23" s="1059"/>
    </row>
    <row r="24" spans="1:15" ht="20.100000000000001" customHeight="1">
      <c r="A24" s="90" t="s">
        <v>74</v>
      </c>
      <c r="B24" s="91" t="s">
        <v>73</v>
      </c>
      <c r="C24" s="91" t="s">
        <v>66</v>
      </c>
      <c r="D24" s="92" t="s">
        <v>2308</v>
      </c>
      <c r="E24" s="99">
        <f>53895+3230</f>
        <v>57125</v>
      </c>
      <c r="F24" s="790">
        <v>298830</v>
      </c>
      <c r="G24" s="99">
        <v>84650</v>
      </c>
      <c r="H24" s="99">
        <f>318800+1910+1575</f>
        <v>322285</v>
      </c>
      <c r="I24" s="99">
        <v>69860</v>
      </c>
      <c r="J24" s="99">
        <v>14095</v>
      </c>
      <c r="K24" s="99">
        <v>252138.9</v>
      </c>
      <c r="L24" s="99">
        <v>112215</v>
      </c>
      <c r="M24" s="785">
        <f t="shared" si="1"/>
        <v>1211198.8999999999</v>
      </c>
      <c r="N24" s="1059"/>
      <c r="O24" s="1059"/>
    </row>
    <row r="25" spans="1:15" ht="20.100000000000001" customHeight="1">
      <c r="A25" s="90" t="s">
        <v>76</v>
      </c>
      <c r="B25" s="91" t="s">
        <v>75</v>
      </c>
      <c r="C25" s="91"/>
      <c r="D25" s="92" t="s">
        <v>28</v>
      </c>
      <c r="E25" s="19">
        <f t="shared" ref="E25:L25" si="10">E26</f>
        <v>977874.62</v>
      </c>
      <c r="F25" s="785">
        <f t="shared" si="10"/>
        <v>5477859.6600000001</v>
      </c>
      <c r="G25" s="19">
        <f t="shared" si="10"/>
        <v>1329206.1599999999</v>
      </c>
      <c r="H25" s="19">
        <f t="shared" si="10"/>
        <v>5464449.0199999996</v>
      </c>
      <c r="I25" s="19">
        <f t="shared" si="10"/>
        <v>1168120.02</v>
      </c>
      <c r="J25" s="19">
        <f t="shared" si="10"/>
        <v>290867.64</v>
      </c>
      <c r="K25" s="19">
        <f t="shared" si="10"/>
        <v>4438922.4400000004</v>
      </c>
      <c r="L25" s="19">
        <f t="shared" si="10"/>
        <v>1976217.68</v>
      </c>
      <c r="M25" s="785">
        <f t="shared" si="1"/>
        <v>21123517.240000002</v>
      </c>
      <c r="N25" s="1059"/>
      <c r="O25" s="1059"/>
    </row>
    <row r="26" spans="1:15" s="96" customFormat="1" ht="20.100000000000001" customHeight="1">
      <c r="A26" s="90" t="s">
        <v>79</v>
      </c>
      <c r="B26" s="95" t="s">
        <v>2309</v>
      </c>
      <c r="C26" s="95" t="s">
        <v>78</v>
      </c>
      <c r="D26" s="92" t="s">
        <v>2301</v>
      </c>
      <c r="E26" s="22">
        <f>727641.98+(88078.4-2910.56-2590.08+1600*2+1600)+(88078.4-2910.56-2590.08+1600)*2-2910.56-2590.08</f>
        <v>977874.62</v>
      </c>
      <c r="F26" s="789">
        <v>5477859.6600000001</v>
      </c>
      <c r="G26" s="22">
        <v>1329206.1599999999</v>
      </c>
      <c r="H26" s="22">
        <v>5464449.0199999996</v>
      </c>
      <c r="I26" s="22">
        <v>1168120.02</v>
      </c>
      <c r="J26" s="22">
        <v>290867.64</v>
      </c>
      <c r="K26" s="22">
        <v>4438922.4400000004</v>
      </c>
      <c r="L26" s="22">
        <v>1976217.68</v>
      </c>
      <c r="M26" s="785">
        <f t="shared" si="1"/>
        <v>21123517.240000002</v>
      </c>
      <c r="N26" s="1059"/>
      <c r="O26" s="1059"/>
    </row>
    <row r="27" spans="1:15" ht="20.100000000000001" customHeight="1">
      <c r="A27" s="90" t="s">
        <v>81</v>
      </c>
      <c r="B27" s="91" t="s">
        <v>80</v>
      </c>
      <c r="C27" s="91"/>
      <c r="D27" s="92" t="s">
        <v>28</v>
      </c>
      <c r="E27" s="19">
        <f t="shared" ref="E27:L27" si="11">E28</f>
        <v>488944.11999999994</v>
      </c>
      <c r="F27" s="785">
        <f t="shared" si="11"/>
        <v>2737047.97</v>
      </c>
      <c r="G27" s="19">
        <f t="shared" si="11"/>
        <v>664615.86</v>
      </c>
      <c r="H27" s="19">
        <f t="shared" si="11"/>
        <v>2731805.2199999997</v>
      </c>
      <c r="I27" s="19">
        <f t="shared" si="11"/>
        <v>584069.11</v>
      </c>
      <c r="J27" s="19">
        <f t="shared" si="11"/>
        <v>133944.1</v>
      </c>
      <c r="K27" s="19">
        <f t="shared" si="11"/>
        <v>2219497.0499999998</v>
      </c>
      <c r="L27" s="19">
        <f t="shared" si="11"/>
        <v>988132.9</v>
      </c>
      <c r="M27" s="785">
        <f t="shared" si="1"/>
        <v>10548056.33</v>
      </c>
      <c r="N27" s="1059"/>
      <c r="O27" s="1059"/>
    </row>
    <row r="28" spans="1:15" s="96" customFormat="1" ht="20.100000000000001" customHeight="1">
      <c r="A28" s="90" t="s">
        <v>84</v>
      </c>
      <c r="B28" s="95" t="s">
        <v>82</v>
      </c>
      <c r="C28" s="95" t="s">
        <v>83</v>
      </c>
      <c r="D28" s="92" t="s">
        <v>2301</v>
      </c>
      <c r="E28" s="22">
        <f>363827.8+(44039.2-1455.28-1295.04+800)*3-1455.28-1295.04+800*2</f>
        <v>488944.11999999994</v>
      </c>
      <c r="F28" s="789">
        <v>2737047.97</v>
      </c>
      <c r="G28" s="22">
        <v>664615.86</v>
      </c>
      <c r="H28" s="792">
        <v>2731805.2199999997</v>
      </c>
      <c r="I28" s="22">
        <v>584069.11</v>
      </c>
      <c r="J28" s="22">
        <v>133944.1</v>
      </c>
      <c r="K28" s="22">
        <v>2219497.0499999998</v>
      </c>
      <c r="L28" s="22">
        <v>988132.9</v>
      </c>
      <c r="M28" s="785">
        <f t="shared" si="1"/>
        <v>10548056.33</v>
      </c>
      <c r="N28" s="1059"/>
      <c r="O28" s="1059"/>
    </row>
    <row r="29" spans="1:15" ht="20.100000000000001" customHeight="1">
      <c r="A29" s="90" t="s">
        <v>87</v>
      </c>
      <c r="B29" s="91" t="s">
        <v>2310</v>
      </c>
      <c r="C29" s="91" t="s">
        <v>88</v>
      </c>
      <c r="D29" s="92" t="s">
        <v>2311</v>
      </c>
      <c r="E29" s="22">
        <v>431220</v>
      </c>
      <c r="F29" s="790">
        <v>2404798</v>
      </c>
      <c r="G29" s="99">
        <v>596414</v>
      </c>
      <c r="H29" s="99">
        <v>2401352</v>
      </c>
      <c r="I29" s="99">
        <v>514824</v>
      </c>
      <c r="J29" s="99">
        <v>118632</v>
      </c>
      <c r="K29" s="99">
        <v>1955200</v>
      </c>
      <c r="L29" s="99">
        <v>869760</v>
      </c>
      <c r="M29" s="785">
        <f t="shared" si="1"/>
        <v>9292200</v>
      </c>
      <c r="N29" s="1059"/>
      <c r="O29" s="1059"/>
    </row>
    <row r="30" spans="1:15" ht="20.100000000000001" customHeight="1">
      <c r="A30" s="90" t="s">
        <v>90</v>
      </c>
      <c r="B30" s="91" t="s">
        <v>2312</v>
      </c>
      <c r="C30" s="97" t="s">
        <v>35</v>
      </c>
      <c r="D30" s="93" t="s">
        <v>2313</v>
      </c>
      <c r="E30" s="99">
        <v>7500</v>
      </c>
      <c r="F30" s="790">
        <v>55500</v>
      </c>
      <c r="G30" s="99">
        <v>15500</v>
      </c>
      <c r="H30" s="99">
        <v>52500</v>
      </c>
      <c r="I30" s="99">
        <v>14000</v>
      </c>
      <c r="J30" s="99">
        <v>1500</v>
      </c>
      <c r="K30" s="99">
        <v>40000</v>
      </c>
      <c r="L30" s="99">
        <v>20000</v>
      </c>
      <c r="M30" s="785">
        <f t="shared" si="1"/>
        <v>206500</v>
      </c>
      <c r="N30" s="1060"/>
      <c r="O30" s="1060"/>
    </row>
    <row r="31" spans="1:15" ht="20.100000000000001" customHeight="1">
      <c r="A31" s="90" t="s">
        <v>94</v>
      </c>
      <c r="B31" s="91" t="s">
        <v>95</v>
      </c>
      <c r="C31" s="91"/>
      <c r="D31" s="92" t="s">
        <v>28</v>
      </c>
      <c r="E31" s="19">
        <f>E32+E36+E38+E40</f>
        <v>161340</v>
      </c>
      <c r="F31" s="19">
        <f t="shared" ref="F31:L31" si="12">F32+F36+F38+F40</f>
        <v>2327335</v>
      </c>
      <c r="G31" s="19">
        <f t="shared" si="12"/>
        <v>31770</v>
      </c>
      <c r="H31" s="19">
        <f t="shared" si="12"/>
        <v>3190895</v>
      </c>
      <c r="I31" s="19">
        <f t="shared" si="12"/>
        <v>259920</v>
      </c>
      <c r="J31" s="19">
        <f t="shared" si="12"/>
        <v>70170</v>
      </c>
      <c r="K31" s="19">
        <f t="shared" si="12"/>
        <v>1562040</v>
      </c>
      <c r="L31" s="19">
        <f t="shared" si="12"/>
        <v>217800</v>
      </c>
      <c r="M31" s="785">
        <f t="shared" si="1"/>
        <v>7821270</v>
      </c>
      <c r="N31" s="1058">
        <v>160190</v>
      </c>
      <c r="O31" s="1058">
        <f>M31-N31</f>
        <v>7661080</v>
      </c>
    </row>
    <row r="32" spans="1:15" ht="20.100000000000001" customHeight="1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L32" si="13">F33+F34+F35</f>
        <v>60015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785">
        <f t="shared" si="1"/>
        <v>60015</v>
      </c>
      <c r="N32" s="1059"/>
      <c r="O32" s="1059"/>
    </row>
    <row r="33" spans="1:15" ht="20.100000000000001" customHeight="1">
      <c r="A33" s="90" t="s">
        <v>98</v>
      </c>
      <c r="B33" s="91" t="s">
        <v>2314</v>
      </c>
      <c r="C33" s="91" t="s">
        <v>100</v>
      </c>
      <c r="D33" s="98" t="s">
        <v>101</v>
      </c>
      <c r="E33" s="99"/>
      <c r="F33" s="99">
        <v>17150</v>
      </c>
      <c r="G33" s="99"/>
      <c r="H33" s="99"/>
      <c r="I33" s="99"/>
      <c r="J33" s="99"/>
      <c r="K33" s="99"/>
      <c r="L33" s="99"/>
      <c r="M33" s="785">
        <f t="shared" si="1"/>
        <v>17150</v>
      </c>
      <c r="N33" s="1059"/>
      <c r="O33" s="1059"/>
    </row>
    <row r="34" spans="1:15" ht="20.100000000000001" customHeight="1">
      <c r="A34" s="90" t="s">
        <v>102</v>
      </c>
      <c r="B34" s="91" t="s">
        <v>2315</v>
      </c>
      <c r="C34" s="91" t="s">
        <v>100</v>
      </c>
      <c r="D34" s="98" t="s">
        <v>101</v>
      </c>
      <c r="E34" s="99"/>
      <c r="F34" s="99">
        <v>287</v>
      </c>
      <c r="G34" s="99"/>
      <c r="H34" s="99"/>
      <c r="I34" s="99"/>
      <c r="J34" s="99"/>
      <c r="K34" s="99"/>
      <c r="L34" s="99"/>
      <c r="M34" s="785">
        <f t="shared" si="1"/>
        <v>287</v>
      </c>
      <c r="N34" s="1059"/>
      <c r="O34" s="1059"/>
    </row>
    <row r="35" spans="1:15" ht="20.100000000000001" customHeight="1">
      <c r="A35" s="90" t="s">
        <v>104</v>
      </c>
      <c r="B35" s="91" t="s">
        <v>2316</v>
      </c>
      <c r="C35" s="91" t="s">
        <v>100</v>
      </c>
      <c r="D35" s="98" t="s">
        <v>101</v>
      </c>
      <c r="E35" s="99"/>
      <c r="F35" s="99">
        <v>42578</v>
      </c>
      <c r="G35" s="99"/>
      <c r="H35" s="99"/>
      <c r="I35" s="99"/>
      <c r="J35" s="99"/>
      <c r="K35" s="99"/>
      <c r="L35" s="99"/>
      <c r="M35" s="785">
        <f t="shared" si="1"/>
        <v>42578</v>
      </c>
      <c r="N35" s="1059"/>
      <c r="O35" s="1059"/>
    </row>
    <row r="36" spans="1:15" ht="20.100000000000001" customHeight="1">
      <c r="A36" s="90" t="s">
        <v>107</v>
      </c>
      <c r="B36" s="91" t="s">
        <v>2317</v>
      </c>
      <c r="C36" s="91" t="s">
        <v>100</v>
      </c>
      <c r="D36" s="98" t="s">
        <v>2318</v>
      </c>
      <c r="E36" s="100">
        <f>E37</f>
        <v>159900</v>
      </c>
      <c r="F36" s="100">
        <f t="shared" ref="F36:L36" si="14">F37</f>
        <v>2261350</v>
      </c>
      <c r="G36" s="100">
        <f t="shared" si="14"/>
        <v>30180</v>
      </c>
      <c r="H36" s="100">
        <f t="shared" si="14"/>
        <v>3184715</v>
      </c>
      <c r="I36" s="100">
        <f t="shared" si="14"/>
        <v>256380</v>
      </c>
      <c r="J36" s="100">
        <f t="shared" si="14"/>
        <v>69960</v>
      </c>
      <c r="K36" s="100">
        <f t="shared" si="14"/>
        <v>1555260</v>
      </c>
      <c r="L36" s="100">
        <f t="shared" si="14"/>
        <v>213600</v>
      </c>
      <c r="M36" s="785">
        <f t="shared" si="1"/>
        <v>7731345</v>
      </c>
      <c r="N36" s="1059"/>
      <c r="O36" s="1059"/>
    </row>
    <row r="37" spans="1:15" ht="20.100000000000001" customHeight="1">
      <c r="A37" s="90" t="s">
        <v>109</v>
      </c>
      <c r="B37" s="91" t="s">
        <v>2319</v>
      </c>
      <c r="C37" s="91" t="s">
        <v>100</v>
      </c>
      <c r="D37" s="98" t="s">
        <v>2318</v>
      </c>
      <c r="E37" s="22">
        <f>119925+13325*3+13325*15-199875</f>
        <v>159900</v>
      </c>
      <c r="F37" s="22">
        <f>5186955-2925605</f>
        <v>2261350</v>
      </c>
      <c r="G37" s="22">
        <v>30180</v>
      </c>
      <c r="H37" s="22">
        <f>7265385-4080670</f>
        <v>3184715</v>
      </c>
      <c r="I37" s="22">
        <f>593090-336710</f>
        <v>256380</v>
      </c>
      <c r="J37" s="22">
        <f>184035-114075</f>
        <v>69960</v>
      </c>
      <c r="K37" s="22">
        <f>3550665-1995405</f>
        <v>1555260</v>
      </c>
      <c r="L37" s="22">
        <f>490860-277260</f>
        <v>213600</v>
      </c>
      <c r="M37" s="785">
        <f t="shared" si="1"/>
        <v>7731345</v>
      </c>
      <c r="N37" s="1059"/>
      <c r="O37" s="1059"/>
    </row>
    <row r="38" spans="1:15" ht="20.100000000000001" customHeight="1">
      <c r="A38" s="90" t="s">
        <v>111</v>
      </c>
      <c r="B38" s="91" t="s">
        <v>125</v>
      </c>
      <c r="C38" s="91"/>
      <c r="D38" s="92" t="s">
        <v>28</v>
      </c>
      <c r="E38" s="19">
        <f>E39</f>
        <v>1440</v>
      </c>
      <c r="F38" s="19">
        <f t="shared" ref="F38:L38" si="15">F39</f>
        <v>5970</v>
      </c>
      <c r="G38" s="19">
        <f t="shared" si="15"/>
        <v>1590</v>
      </c>
      <c r="H38" s="19">
        <f t="shared" si="15"/>
        <v>6180</v>
      </c>
      <c r="I38" s="19">
        <f t="shared" si="15"/>
        <v>3540</v>
      </c>
      <c r="J38" s="19">
        <f t="shared" si="15"/>
        <v>210</v>
      </c>
      <c r="K38" s="19">
        <f t="shared" si="15"/>
        <v>6780</v>
      </c>
      <c r="L38" s="19">
        <f t="shared" si="15"/>
        <v>4200</v>
      </c>
      <c r="M38" s="785">
        <f t="shared" si="1"/>
        <v>29910</v>
      </c>
      <c r="N38" s="1059"/>
      <c r="O38" s="1059"/>
    </row>
    <row r="39" spans="1:15" ht="20.100000000000001" customHeight="1">
      <c r="A39" s="90" t="s">
        <v>113</v>
      </c>
      <c r="B39" s="91" t="s">
        <v>127</v>
      </c>
      <c r="C39" s="91" t="s">
        <v>35</v>
      </c>
      <c r="D39" s="92" t="s">
        <v>36</v>
      </c>
      <c r="E39" s="22">
        <f>1260+60*3</f>
        <v>1440</v>
      </c>
      <c r="F39" s="22">
        <v>5970</v>
      </c>
      <c r="G39" s="22">
        <v>1590</v>
      </c>
      <c r="H39" s="22">
        <v>6180</v>
      </c>
      <c r="I39" s="22">
        <v>3540</v>
      </c>
      <c r="J39" s="22">
        <v>210</v>
      </c>
      <c r="K39" s="22">
        <v>6780</v>
      </c>
      <c r="L39" s="22">
        <v>4200</v>
      </c>
      <c r="M39" s="785">
        <f t="shared" si="1"/>
        <v>29910</v>
      </c>
      <c r="N39" s="1059"/>
      <c r="O39" s="1059"/>
    </row>
    <row r="40" spans="1:15" ht="20.100000000000001" customHeight="1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 t="shared" ref="F40:L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785">
        <f t="shared" si="1"/>
        <v>0</v>
      </c>
      <c r="N40" s="1059"/>
      <c r="O40" s="1059"/>
    </row>
    <row r="41" spans="1:15" ht="20.100000000000001" customHeight="1">
      <c r="A41" s="90" t="s">
        <v>116</v>
      </c>
      <c r="B41" s="91" t="s">
        <v>2320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99"/>
      <c r="M41" s="785">
        <f t="shared" si="1"/>
        <v>0</v>
      </c>
      <c r="N41" s="1060"/>
      <c r="O41" s="1060"/>
    </row>
    <row r="42" spans="1:15" ht="20.100000000000001" customHeight="1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1287707.43</v>
      </c>
      <c r="F42" s="19">
        <f t="shared" ref="F42:L42" si="17">F43+F45+F47+F49+F51+F54+F56+F58+F62</f>
        <v>10041305.59</v>
      </c>
      <c r="G42" s="19">
        <f t="shared" si="17"/>
        <v>2314923.0300000003</v>
      </c>
      <c r="H42" s="19">
        <f t="shared" si="17"/>
        <v>9418768.5300000012</v>
      </c>
      <c r="I42" s="19">
        <f t="shared" si="17"/>
        <v>1824447.04</v>
      </c>
      <c r="J42" s="19">
        <f t="shared" si="17"/>
        <v>327609.14</v>
      </c>
      <c r="K42" s="19">
        <f t="shared" si="17"/>
        <v>6318699.5700000003</v>
      </c>
      <c r="L42" s="19">
        <f t="shared" si="17"/>
        <v>2912368.8699999996</v>
      </c>
      <c r="M42" s="785">
        <f t="shared" si="1"/>
        <v>34445829.200000003</v>
      </c>
      <c r="N42" s="1058">
        <v>33223938.790000003</v>
      </c>
      <c r="O42" s="1058">
        <f>M42-N42</f>
        <v>1221890.4100000001</v>
      </c>
    </row>
    <row r="43" spans="1:15" ht="20.100000000000001" customHeight="1">
      <c r="A43" s="90" t="s">
        <v>120</v>
      </c>
      <c r="B43" s="91" t="s">
        <v>144</v>
      </c>
      <c r="C43" s="91"/>
      <c r="D43" s="92" t="s">
        <v>145</v>
      </c>
      <c r="E43" s="22">
        <v>864480</v>
      </c>
      <c r="F43" s="22">
        <v>7603770</v>
      </c>
      <c r="G43" s="22">
        <v>1735440</v>
      </c>
      <c r="H43" s="22">
        <v>7128060</v>
      </c>
      <c r="I43" s="22">
        <v>1287000</v>
      </c>
      <c r="J43" s="22">
        <v>156800</v>
      </c>
      <c r="K43" s="22">
        <v>4587490</v>
      </c>
      <c r="L43" s="22">
        <v>2152150</v>
      </c>
      <c r="M43" s="785">
        <f t="shared" si="1"/>
        <v>25515190</v>
      </c>
      <c r="N43" s="1059"/>
      <c r="O43" s="1059"/>
    </row>
    <row r="44" spans="1:15" ht="20.100000000000001" customHeight="1">
      <c r="A44" s="90" t="s">
        <v>122</v>
      </c>
      <c r="B44" s="91" t="s">
        <v>2321</v>
      </c>
      <c r="C44" s="91" t="s">
        <v>2322</v>
      </c>
      <c r="D44" s="102" t="s">
        <v>2323</v>
      </c>
      <c r="E44" s="22">
        <v>42294.5</v>
      </c>
      <c r="F44" s="22">
        <v>380188.5</v>
      </c>
      <c r="G44" s="22">
        <v>69111.5</v>
      </c>
      <c r="H44" s="22">
        <v>356403</v>
      </c>
      <c r="I44" s="22">
        <v>53696.5</v>
      </c>
      <c r="J44" s="22">
        <v>7840</v>
      </c>
      <c r="K44" s="22">
        <v>229374.5</v>
      </c>
      <c r="L44" s="22">
        <v>107607.5</v>
      </c>
      <c r="M44" s="785">
        <f t="shared" si="1"/>
        <v>1246516</v>
      </c>
      <c r="N44" s="1059"/>
      <c r="O44" s="1059"/>
    </row>
    <row r="45" spans="1:15" ht="20.100000000000001" customHeight="1">
      <c r="A45" s="90" t="s">
        <v>124</v>
      </c>
      <c r="B45" s="91" t="s">
        <v>183</v>
      </c>
      <c r="C45" s="91"/>
      <c r="D45" s="92"/>
      <c r="E45" s="19">
        <f>E46</f>
        <v>12000</v>
      </c>
      <c r="F45" s="19">
        <f t="shared" ref="F45:L45" si="18">F46</f>
        <v>59500</v>
      </c>
      <c r="G45" s="19">
        <f t="shared" si="18"/>
        <v>17200</v>
      </c>
      <c r="H45" s="19">
        <f t="shared" si="18"/>
        <v>57200</v>
      </c>
      <c r="I45" s="19">
        <f t="shared" si="18"/>
        <v>14400</v>
      </c>
      <c r="J45" s="19">
        <f t="shared" si="18"/>
        <v>2800</v>
      </c>
      <c r="K45" s="19">
        <f t="shared" si="18"/>
        <v>46800</v>
      </c>
      <c r="L45" s="19">
        <f t="shared" si="18"/>
        <v>23600</v>
      </c>
      <c r="M45" s="785">
        <f t="shared" si="1"/>
        <v>233500</v>
      </c>
      <c r="N45" s="1059"/>
      <c r="O45" s="1059"/>
    </row>
    <row r="46" spans="1:15" s="96" customFormat="1" ht="20.100000000000001" customHeight="1">
      <c r="A46" s="90" t="s">
        <v>126</v>
      </c>
      <c r="B46" s="95" t="s">
        <v>185</v>
      </c>
      <c r="C46" s="95" t="s">
        <v>35</v>
      </c>
      <c r="D46" s="103" t="s">
        <v>2324</v>
      </c>
      <c r="E46" s="22">
        <v>12000</v>
      </c>
      <c r="F46" s="22">
        <v>59500</v>
      </c>
      <c r="G46" s="22">
        <v>17200</v>
      </c>
      <c r="H46" s="22">
        <v>57200</v>
      </c>
      <c r="I46" s="22">
        <v>14400</v>
      </c>
      <c r="J46" s="22">
        <v>2800</v>
      </c>
      <c r="K46" s="22">
        <v>46800</v>
      </c>
      <c r="L46" s="22">
        <v>23600</v>
      </c>
      <c r="M46" s="785">
        <f t="shared" si="1"/>
        <v>233500</v>
      </c>
      <c r="N46" s="1059"/>
      <c r="O46" s="1059"/>
    </row>
    <row r="47" spans="1:15" ht="20.100000000000001" customHeight="1">
      <c r="A47" s="90" t="s">
        <v>128</v>
      </c>
      <c r="B47" s="91" t="s">
        <v>188</v>
      </c>
      <c r="C47" s="91"/>
      <c r="D47" s="92" t="s">
        <v>28</v>
      </c>
      <c r="E47" s="19">
        <f>E48</f>
        <v>64068.6</v>
      </c>
      <c r="F47" s="19">
        <f t="shared" ref="F47:L47" si="19">F48</f>
        <v>336567.5</v>
      </c>
      <c r="G47" s="19">
        <f t="shared" si="19"/>
        <v>130000</v>
      </c>
      <c r="H47" s="19">
        <f t="shared" si="19"/>
        <v>0</v>
      </c>
      <c r="I47" s="19">
        <f t="shared" si="19"/>
        <v>97749.75</v>
      </c>
      <c r="J47" s="19">
        <f t="shared" si="19"/>
        <v>33240</v>
      </c>
      <c r="K47" s="19">
        <f t="shared" si="19"/>
        <v>109000</v>
      </c>
      <c r="L47" s="19">
        <f t="shared" si="19"/>
        <v>117936.3</v>
      </c>
      <c r="M47" s="785">
        <f t="shared" si="1"/>
        <v>888562.15</v>
      </c>
      <c r="N47" s="1059"/>
      <c r="O47" s="1059"/>
    </row>
    <row r="48" spans="1:15" s="96" customFormat="1" ht="20.100000000000001" customHeight="1">
      <c r="A48" s="90" t="s">
        <v>130</v>
      </c>
      <c r="B48" s="95" t="s">
        <v>190</v>
      </c>
      <c r="C48" s="95" t="s">
        <v>35</v>
      </c>
      <c r="D48" s="103" t="s">
        <v>2325</v>
      </c>
      <c r="E48" s="793">
        <f>15*4271.24</f>
        <v>64068.6</v>
      </c>
      <c r="F48" s="22">
        <v>336567.5</v>
      </c>
      <c r="G48" s="22">
        <v>130000</v>
      </c>
      <c r="H48" s="22"/>
      <c r="I48" s="22">
        <v>97749.75</v>
      </c>
      <c r="J48" s="22">
        <v>33240</v>
      </c>
      <c r="K48" s="22">
        <v>109000</v>
      </c>
      <c r="L48" s="22">
        <v>117936.3</v>
      </c>
      <c r="M48" s="785">
        <f t="shared" si="1"/>
        <v>888562.15</v>
      </c>
      <c r="N48" s="1059"/>
      <c r="O48" s="1059"/>
    </row>
    <row r="49" spans="1:15" ht="20.100000000000001" customHeight="1">
      <c r="A49" s="90" t="s">
        <v>133</v>
      </c>
      <c r="B49" s="91" t="s">
        <v>193</v>
      </c>
      <c r="C49" s="91"/>
      <c r="D49" s="92" t="s">
        <v>28</v>
      </c>
      <c r="E49" s="19">
        <f>E50</f>
        <v>23898.400000000001</v>
      </c>
      <c r="F49" s="19">
        <f t="shared" ref="F49:L49" si="20">F50</f>
        <v>100900.8</v>
      </c>
      <c r="G49" s="19">
        <f t="shared" si="20"/>
        <v>50073.599999999999</v>
      </c>
      <c r="H49" s="19">
        <f t="shared" si="20"/>
        <v>144000</v>
      </c>
      <c r="I49" s="19">
        <f t="shared" si="20"/>
        <v>37600</v>
      </c>
      <c r="J49" s="19">
        <f t="shared" si="20"/>
        <v>50016</v>
      </c>
      <c r="K49" s="19">
        <f t="shared" si="20"/>
        <v>96000</v>
      </c>
      <c r="L49" s="19">
        <f t="shared" si="20"/>
        <v>33100</v>
      </c>
      <c r="M49" s="785">
        <f t="shared" si="1"/>
        <v>535588.80000000005</v>
      </c>
      <c r="N49" s="1059"/>
      <c r="O49" s="1059"/>
    </row>
    <row r="50" spans="1:15" s="96" customFormat="1" ht="20.100000000000001" customHeight="1">
      <c r="A50" s="90" t="s">
        <v>136</v>
      </c>
      <c r="B50" s="95" t="s">
        <v>195</v>
      </c>
      <c r="C50" s="95" t="s">
        <v>35</v>
      </c>
      <c r="D50" s="103" t="s">
        <v>2326</v>
      </c>
      <c r="E50" s="22">
        <f>8*2987.3</f>
        <v>23898.400000000001</v>
      </c>
      <c r="F50" s="22">
        <v>100900.8</v>
      </c>
      <c r="G50" s="22">
        <v>50073.599999999999</v>
      </c>
      <c r="H50" s="22">
        <v>144000</v>
      </c>
      <c r="I50" s="22">
        <v>37600</v>
      </c>
      <c r="J50" s="22">
        <v>50016</v>
      </c>
      <c r="K50" s="22">
        <v>96000</v>
      </c>
      <c r="L50" s="22">
        <v>33100</v>
      </c>
      <c r="M50" s="785">
        <f t="shared" si="1"/>
        <v>535588.80000000005</v>
      </c>
      <c r="N50" s="1059"/>
      <c r="O50" s="1059"/>
    </row>
    <row r="51" spans="1:15" ht="20.100000000000001" customHeight="1">
      <c r="A51" s="90" t="s">
        <v>138</v>
      </c>
      <c r="B51" s="91" t="s">
        <v>2327</v>
      </c>
      <c r="C51" s="91"/>
      <c r="D51" s="92" t="s">
        <v>28</v>
      </c>
      <c r="E51" s="19">
        <f>E52+E53</f>
        <v>168480</v>
      </c>
      <c r="F51" s="19">
        <f t="shared" ref="F51:L51" si="21">F52+F53</f>
        <v>1166760</v>
      </c>
      <c r="G51" s="19">
        <f t="shared" si="21"/>
        <v>194400</v>
      </c>
      <c r="H51" s="19">
        <f t="shared" si="21"/>
        <v>1337400</v>
      </c>
      <c r="I51" s="19">
        <f t="shared" si="21"/>
        <v>216000</v>
      </c>
      <c r="J51" s="19">
        <f t="shared" si="21"/>
        <v>47520</v>
      </c>
      <c r="K51" s="19">
        <f t="shared" si="21"/>
        <v>872640</v>
      </c>
      <c r="L51" s="19">
        <f t="shared" si="21"/>
        <v>306720</v>
      </c>
      <c r="M51" s="785">
        <f t="shared" si="1"/>
        <v>4309920</v>
      </c>
      <c r="N51" s="1059"/>
      <c r="O51" s="1059"/>
    </row>
    <row r="52" spans="1:15" s="96" customFormat="1" ht="20.100000000000001" customHeight="1">
      <c r="A52" s="90" t="s">
        <v>141</v>
      </c>
      <c r="B52" s="95" t="s">
        <v>2328</v>
      </c>
      <c r="C52" s="95" t="s">
        <v>35</v>
      </c>
      <c r="D52" s="103" t="s">
        <v>2329</v>
      </c>
      <c r="E52" s="22">
        <v>129600</v>
      </c>
      <c r="F52" s="22">
        <v>652320</v>
      </c>
      <c r="G52" s="22">
        <v>185760</v>
      </c>
      <c r="H52" s="22">
        <v>618840</v>
      </c>
      <c r="I52" s="22">
        <v>155520</v>
      </c>
      <c r="J52" s="22">
        <v>30240</v>
      </c>
      <c r="K52" s="22">
        <v>509760</v>
      </c>
      <c r="L52" s="22">
        <v>254880</v>
      </c>
      <c r="M52" s="785">
        <f t="shared" si="1"/>
        <v>2536920</v>
      </c>
      <c r="N52" s="1059"/>
      <c r="O52" s="1059"/>
    </row>
    <row r="53" spans="1:15" s="96" customFormat="1" ht="20.100000000000001" customHeight="1">
      <c r="A53" s="90" t="s">
        <v>143</v>
      </c>
      <c r="B53" s="95" t="s">
        <v>2330</v>
      </c>
      <c r="C53" s="95" t="s">
        <v>35</v>
      </c>
      <c r="D53" s="103" t="s">
        <v>2331</v>
      </c>
      <c r="E53" s="22">
        <f>2100+15500+21280</f>
        <v>38880</v>
      </c>
      <c r="F53" s="22">
        <v>514440</v>
      </c>
      <c r="G53" s="22">
        <v>8640</v>
      </c>
      <c r="H53" s="22">
        <v>718560</v>
      </c>
      <c r="I53" s="22">
        <v>60480</v>
      </c>
      <c r="J53" s="22">
        <v>17280</v>
      </c>
      <c r="K53" s="22">
        <v>362880</v>
      </c>
      <c r="L53" s="22">
        <v>51840</v>
      </c>
      <c r="M53" s="785">
        <f t="shared" si="1"/>
        <v>1773000</v>
      </c>
      <c r="N53" s="1059"/>
      <c r="O53" s="1059"/>
    </row>
    <row r="54" spans="1:15" ht="20.100000000000001" customHeight="1">
      <c r="A54" s="90" t="s">
        <v>146</v>
      </c>
      <c r="B54" s="91" t="s">
        <v>2332</v>
      </c>
      <c r="C54" s="91"/>
      <c r="D54" s="92" t="s">
        <v>28</v>
      </c>
      <c r="E54" s="19">
        <f>E55</f>
        <v>118755.43</v>
      </c>
      <c r="F54" s="19">
        <f t="shared" ref="F54:L54" si="22">F55</f>
        <v>669202.29</v>
      </c>
      <c r="G54" s="19">
        <f t="shared" si="22"/>
        <v>153459.43</v>
      </c>
      <c r="H54" s="19">
        <f t="shared" si="22"/>
        <v>661004.57000000007</v>
      </c>
      <c r="I54" s="19">
        <f t="shared" si="22"/>
        <v>140722.29</v>
      </c>
      <c r="J54" s="19">
        <f t="shared" si="22"/>
        <v>31433.14</v>
      </c>
      <c r="K54" s="19">
        <f t="shared" si="22"/>
        <v>537644.56999999995</v>
      </c>
      <c r="L54" s="19">
        <f t="shared" si="22"/>
        <v>239612.57</v>
      </c>
      <c r="M54" s="785">
        <f t="shared" si="1"/>
        <v>2551834.2899999996</v>
      </c>
      <c r="N54" s="1059"/>
      <c r="O54" s="1059"/>
    </row>
    <row r="55" spans="1:15" s="96" customFormat="1" ht="20.100000000000001" customHeight="1">
      <c r="A55" s="90" t="s">
        <v>148</v>
      </c>
      <c r="B55" s="95" t="s">
        <v>209</v>
      </c>
      <c r="C55" s="95" t="s">
        <v>35</v>
      </c>
      <c r="D55" s="92" t="s">
        <v>2333</v>
      </c>
      <c r="E55" s="22">
        <v>118755.43</v>
      </c>
      <c r="F55" s="22">
        <v>669202.29</v>
      </c>
      <c r="G55" s="22">
        <v>153459.43</v>
      </c>
      <c r="H55" s="22">
        <v>661004.57000000007</v>
      </c>
      <c r="I55" s="22">
        <v>140722.29</v>
      </c>
      <c r="J55" s="22">
        <v>31433.14</v>
      </c>
      <c r="K55" s="22">
        <v>537644.56999999995</v>
      </c>
      <c r="L55" s="22">
        <v>239612.57</v>
      </c>
      <c r="M55" s="785">
        <f t="shared" si="1"/>
        <v>2551834.2899999996</v>
      </c>
      <c r="N55" s="1059"/>
      <c r="O55" s="1059"/>
    </row>
    <row r="56" spans="1:15" ht="20.100000000000001" customHeight="1">
      <c r="A56" s="90" t="s">
        <v>150</v>
      </c>
      <c r="B56" s="91" t="s">
        <v>2334</v>
      </c>
      <c r="C56" s="91"/>
      <c r="D56" s="92" t="s">
        <v>28</v>
      </c>
      <c r="E56" s="19">
        <f>E57</f>
        <v>0</v>
      </c>
      <c r="F56" s="19">
        <f t="shared" ref="F56:L56" si="23">F57</f>
        <v>55000</v>
      </c>
      <c r="G56" s="19">
        <f t="shared" si="23"/>
        <v>0</v>
      </c>
      <c r="H56" s="19">
        <f t="shared" si="23"/>
        <v>21203.96</v>
      </c>
      <c r="I56" s="19">
        <f t="shared" si="23"/>
        <v>0</v>
      </c>
      <c r="J56" s="19">
        <f t="shared" si="23"/>
        <v>0</v>
      </c>
      <c r="K56" s="19">
        <f t="shared" si="23"/>
        <v>32000</v>
      </c>
      <c r="L56" s="19">
        <f t="shared" si="23"/>
        <v>0</v>
      </c>
      <c r="M56" s="785">
        <f t="shared" si="1"/>
        <v>108203.95999999999</v>
      </c>
      <c r="N56" s="1059"/>
      <c r="O56" s="1059"/>
    </row>
    <row r="57" spans="1:15" ht="20.100000000000001" customHeight="1">
      <c r="A57" s="90" t="s">
        <v>152</v>
      </c>
      <c r="B57" s="91" t="s">
        <v>213</v>
      </c>
      <c r="C57" s="91" t="s">
        <v>35</v>
      </c>
      <c r="D57" s="102" t="s">
        <v>2335</v>
      </c>
      <c r="E57" s="22"/>
      <c r="F57" s="22">
        <v>55000</v>
      </c>
      <c r="G57" s="22"/>
      <c r="H57" s="22">
        <v>21203.96</v>
      </c>
      <c r="I57" s="22"/>
      <c r="J57" s="22"/>
      <c r="K57" s="22">
        <v>32000</v>
      </c>
      <c r="L57" s="22"/>
      <c r="M57" s="785">
        <f t="shared" si="1"/>
        <v>108203.95999999999</v>
      </c>
      <c r="N57" s="1059"/>
      <c r="O57" s="1059"/>
    </row>
    <row r="58" spans="1:15" ht="20.100000000000001" customHeight="1">
      <c r="A58" s="90" t="s">
        <v>154</v>
      </c>
      <c r="B58" s="91" t="s">
        <v>2336</v>
      </c>
      <c r="C58" s="91"/>
      <c r="D58" s="92" t="s">
        <v>28</v>
      </c>
      <c r="E58" s="19">
        <f>E59+E61</f>
        <v>4025</v>
      </c>
      <c r="F58" s="19">
        <f t="shared" ref="F58:L58" si="24">F59+F61</f>
        <v>49605</v>
      </c>
      <c r="G58" s="19">
        <f t="shared" si="24"/>
        <v>2350</v>
      </c>
      <c r="H58" s="19">
        <f t="shared" si="24"/>
        <v>69900</v>
      </c>
      <c r="I58" s="19">
        <f t="shared" si="24"/>
        <v>9375</v>
      </c>
      <c r="J58" s="19">
        <f t="shared" si="24"/>
        <v>1600</v>
      </c>
      <c r="K58" s="19">
        <f t="shared" si="24"/>
        <v>37125</v>
      </c>
      <c r="L58" s="19">
        <f t="shared" si="24"/>
        <v>7250</v>
      </c>
      <c r="M58" s="785">
        <f t="shared" si="1"/>
        <v>181230</v>
      </c>
      <c r="N58" s="1059"/>
      <c r="O58" s="1059"/>
    </row>
    <row r="59" spans="1:15" ht="20.100000000000001" customHeight="1">
      <c r="A59" s="90" t="s">
        <v>156</v>
      </c>
      <c r="B59" s="91" t="s">
        <v>2337</v>
      </c>
      <c r="C59" s="91" t="s">
        <v>35</v>
      </c>
      <c r="D59" s="92" t="s">
        <v>28</v>
      </c>
      <c r="E59" s="19">
        <f>E60</f>
        <v>3600</v>
      </c>
      <c r="F59" s="19">
        <f t="shared" ref="F59:L59" si="25">F60</f>
        <v>47400</v>
      </c>
      <c r="G59" s="19">
        <f t="shared" si="25"/>
        <v>800</v>
      </c>
      <c r="H59" s="19">
        <f t="shared" si="25"/>
        <v>66400</v>
      </c>
      <c r="I59" s="19">
        <f t="shared" si="25"/>
        <v>5600</v>
      </c>
      <c r="J59" s="19">
        <f t="shared" si="25"/>
        <v>1600</v>
      </c>
      <c r="K59" s="19">
        <f t="shared" si="25"/>
        <v>33600</v>
      </c>
      <c r="L59" s="19">
        <f t="shared" si="25"/>
        <v>4800</v>
      </c>
      <c r="M59" s="785">
        <f t="shared" si="1"/>
        <v>163800</v>
      </c>
      <c r="N59" s="1059"/>
      <c r="O59" s="1059"/>
    </row>
    <row r="60" spans="1:15" s="96" customFormat="1" ht="20.100000000000001" customHeight="1">
      <c r="A60" s="90" t="s">
        <v>158</v>
      </c>
      <c r="B60" s="95" t="s">
        <v>227</v>
      </c>
      <c r="C60" s="95" t="s">
        <v>35</v>
      </c>
      <c r="D60" s="103" t="s">
        <v>2338</v>
      </c>
      <c r="E60" s="22">
        <f>1260+610.85+1729.15</f>
        <v>3600</v>
      </c>
      <c r="F60" s="22">
        <v>47400</v>
      </c>
      <c r="G60" s="22">
        <v>800</v>
      </c>
      <c r="H60" s="22">
        <v>66400</v>
      </c>
      <c r="I60" s="22">
        <v>5600</v>
      </c>
      <c r="J60" s="22">
        <v>1600</v>
      </c>
      <c r="K60" s="22">
        <v>33600</v>
      </c>
      <c r="L60" s="22">
        <v>4800</v>
      </c>
      <c r="M60" s="785">
        <f t="shared" si="1"/>
        <v>163800</v>
      </c>
      <c r="N60" s="1059"/>
      <c r="O60" s="1059"/>
    </row>
    <row r="61" spans="1:15" ht="20.100000000000001" customHeight="1">
      <c r="A61" s="90" t="s">
        <v>160</v>
      </c>
      <c r="B61" s="91" t="s">
        <v>2339</v>
      </c>
      <c r="C61" s="91" t="s">
        <v>35</v>
      </c>
      <c r="D61" s="102" t="s">
        <v>2340</v>
      </c>
      <c r="E61" s="22">
        <f>225+200</f>
        <v>425</v>
      </c>
      <c r="F61" s="104">
        <v>2205</v>
      </c>
      <c r="G61" s="104">
        <v>1550</v>
      </c>
      <c r="H61" s="104">
        <v>3500</v>
      </c>
      <c r="I61" s="104">
        <v>3775</v>
      </c>
      <c r="J61" s="104"/>
      <c r="K61" s="104">
        <v>3525</v>
      </c>
      <c r="L61" s="104">
        <v>2450</v>
      </c>
      <c r="M61" s="785">
        <f t="shared" si="1"/>
        <v>17430</v>
      </c>
      <c r="N61" s="1059"/>
      <c r="O61" s="1059"/>
    </row>
    <row r="62" spans="1:15" ht="20.100000000000001" customHeight="1">
      <c r="A62" s="90" t="s">
        <v>162</v>
      </c>
      <c r="B62" s="91" t="s">
        <v>2341</v>
      </c>
      <c r="C62" s="91"/>
      <c r="D62" s="92" t="s">
        <v>28</v>
      </c>
      <c r="E62" s="19">
        <f>E63</f>
        <v>32000</v>
      </c>
      <c r="F62" s="19">
        <f t="shared" ref="F62:L62" si="26">F63</f>
        <v>0</v>
      </c>
      <c r="G62" s="19">
        <f t="shared" si="26"/>
        <v>32000</v>
      </c>
      <c r="H62" s="19">
        <f t="shared" si="26"/>
        <v>0</v>
      </c>
      <c r="I62" s="19">
        <f t="shared" si="26"/>
        <v>21600</v>
      </c>
      <c r="J62" s="19">
        <f t="shared" si="26"/>
        <v>4200</v>
      </c>
      <c r="K62" s="19">
        <f t="shared" si="26"/>
        <v>0</v>
      </c>
      <c r="L62" s="19">
        <f t="shared" si="26"/>
        <v>32000</v>
      </c>
      <c r="M62" s="785">
        <f t="shared" si="1"/>
        <v>121800</v>
      </c>
      <c r="N62" s="1059"/>
      <c r="O62" s="1059"/>
    </row>
    <row r="63" spans="1:15" ht="20.100000000000001" customHeight="1" thickBot="1">
      <c r="A63" s="90" t="s">
        <v>164</v>
      </c>
      <c r="B63" s="105" t="s">
        <v>237</v>
      </c>
      <c r="C63" s="91" t="s">
        <v>35</v>
      </c>
      <c r="D63" s="106" t="s">
        <v>2342</v>
      </c>
      <c r="E63" s="107">
        <v>32000</v>
      </c>
      <c r="F63" s="107"/>
      <c r="G63" s="107">
        <v>32000</v>
      </c>
      <c r="H63" s="107"/>
      <c r="I63" s="107">
        <v>21600</v>
      </c>
      <c r="J63" s="107">
        <v>4200</v>
      </c>
      <c r="K63" s="107"/>
      <c r="L63" s="107">
        <v>32000</v>
      </c>
      <c r="M63" s="785">
        <f t="shared" si="1"/>
        <v>121800</v>
      </c>
      <c r="N63" s="1060"/>
      <c r="O63" s="1060"/>
    </row>
    <row r="64" spans="1:15" ht="20.100000000000001" customHeight="1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9">
        <f t="shared" si="1"/>
        <v>0</v>
      </c>
      <c r="N64" s="98"/>
      <c r="O64" s="737"/>
    </row>
    <row r="65" spans="1:15" ht="20.100000000000001" customHeight="1">
      <c r="A65" s="90" t="s">
        <v>170</v>
      </c>
      <c r="B65" s="91" t="s">
        <v>242</v>
      </c>
      <c r="C65" s="91"/>
      <c r="D65" s="92" t="s">
        <v>2343</v>
      </c>
      <c r="E65" s="19">
        <f>E66+E67+E68+E69</f>
        <v>30</v>
      </c>
      <c r="F65" s="19">
        <f t="shared" ref="F65:L65" si="27">F66+F67+F68+F69</f>
        <v>147</v>
      </c>
      <c r="G65" s="19">
        <f t="shared" si="27"/>
        <v>43</v>
      </c>
      <c r="H65" s="19">
        <f t="shared" si="27"/>
        <v>143</v>
      </c>
      <c r="I65" s="19">
        <f t="shared" si="27"/>
        <v>36</v>
      </c>
      <c r="J65" s="19">
        <f t="shared" si="27"/>
        <v>7</v>
      </c>
      <c r="K65" s="19">
        <f t="shared" si="27"/>
        <v>117</v>
      </c>
      <c r="L65" s="19">
        <f t="shared" si="27"/>
        <v>59</v>
      </c>
      <c r="M65" s="787">
        <f t="shared" si="1"/>
        <v>582</v>
      </c>
      <c r="N65" s="786">
        <v>587</v>
      </c>
      <c r="O65" s="738">
        <f>M65-N65</f>
        <v>-5</v>
      </c>
    </row>
    <row r="66" spans="1:15" ht="20.100000000000001" customHeight="1">
      <c r="A66" s="90" t="s">
        <v>172</v>
      </c>
      <c r="B66" s="113" t="s">
        <v>245</v>
      </c>
      <c r="C66" s="113"/>
      <c r="D66" s="98"/>
      <c r="E66" s="99"/>
      <c r="F66" s="99">
        <v>69</v>
      </c>
      <c r="G66" s="99"/>
      <c r="H66" s="99">
        <v>77</v>
      </c>
      <c r="I66" s="99"/>
      <c r="J66" s="99"/>
      <c r="K66" s="99">
        <v>54</v>
      </c>
      <c r="L66" s="99"/>
      <c r="M66" s="787">
        <f t="shared" si="1"/>
        <v>200</v>
      </c>
      <c r="N66" s="786">
        <v>198</v>
      </c>
      <c r="O66" s="738">
        <f t="shared" ref="O66:O78" si="28">M66-N66</f>
        <v>2</v>
      </c>
    </row>
    <row r="67" spans="1:15" ht="20.100000000000001" customHeight="1">
      <c r="A67" s="90" t="s">
        <v>174</v>
      </c>
      <c r="B67" s="113" t="s">
        <v>247</v>
      </c>
      <c r="C67" s="113"/>
      <c r="D67" s="92"/>
      <c r="E67" s="22"/>
      <c r="F67" s="22">
        <v>78</v>
      </c>
      <c r="G67" s="22"/>
      <c r="H67" s="22">
        <v>66</v>
      </c>
      <c r="I67" s="22"/>
      <c r="J67" s="22"/>
      <c r="K67" s="22">
        <v>63</v>
      </c>
      <c r="L67" s="22"/>
      <c r="M67" s="787">
        <f t="shared" ref="M67:M78" si="29">SUM(E67:L67)</f>
        <v>207</v>
      </c>
      <c r="N67" s="786">
        <v>214</v>
      </c>
      <c r="O67" s="738">
        <f t="shared" si="28"/>
        <v>-7</v>
      </c>
    </row>
    <row r="68" spans="1:15" ht="20.100000000000001" customHeight="1">
      <c r="A68" s="90" t="s">
        <v>176</v>
      </c>
      <c r="B68" s="113" t="s">
        <v>249</v>
      </c>
      <c r="C68" s="113"/>
      <c r="D68" s="98"/>
      <c r="E68" s="99">
        <v>30</v>
      </c>
      <c r="F68" s="99"/>
      <c r="G68" s="99">
        <v>43</v>
      </c>
      <c r="H68" s="99"/>
      <c r="I68" s="99">
        <v>36</v>
      </c>
      <c r="J68" s="99"/>
      <c r="K68" s="99"/>
      <c r="L68" s="99">
        <v>59</v>
      </c>
      <c r="M68" s="787">
        <f t="shared" si="29"/>
        <v>168</v>
      </c>
      <c r="N68" s="786">
        <v>168</v>
      </c>
      <c r="O68" s="738">
        <f t="shared" si="28"/>
        <v>0</v>
      </c>
    </row>
    <row r="69" spans="1:15" ht="20.100000000000001" customHeight="1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/>
      <c r="J69" s="99">
        <v>7</v>
      </c>
      <c r="K69" s="99"/>
      <c r="L69" s="99"/>
      <c r="M69" s="787">
        <f t="shared" si="29"/>
        <v>7</v>
      </c>
      <c r="N69" s="786">
        <v>7</v>
      </c>
      <c r="O69" s="738">
        <f t="shared" si="28"/>
        <v>0</v>
      </c>
    </row>
    <row r="70" spans="1:15" ht="20.100000000000001" customHeight="1">
      <c r="A70" s="90" t="s">
        <v>180</v>
      </c>
      <c r="B70" s="91" t="s">
        <v>253</v>
      </c>
      <c r="C70" s="91"/>
      <c r="D70" s="92" t="s">
        <v>2344</v>
      </c>
      <c r="E70" s="19">
        <f>E71+E72+E73+E74</f>
        <v>275</v>
      </c>
      <c r="F70" s="19">
        <f t="shared" ref="F70:L70" si="30">F71+F72+F73+F74</f>
        <v>2204</v>
      </c>
      <c r="G70" s="19">
        <f t="shared" si="30"/>
        <v>472</v>
      </c>
      <c r="H70" s="19">
        <f t="shared" si="30"/>
        <v>2062</v>
      </c>
      <c r="I70" s="19">
        <f t="shared" si="30"/>
        <v>365</v>
      </c>
      <c r="J70" s="19">
        <f t="shared" si="30"/>
        <v>0</v>
      </c>
      <c r="K70" s="19">
        <f t="shared" si="30"/>
        <v>1293</v>
      </c>
      <c r="L70" s="19">
        <f t="shared" si="30"/>
        <v>743</v>
      </c>
      <c r="M70" s="787">
        <f t="shared" si="29"/>
        <v>7414</v>
      </c>
      <c r="N70" s="786">
        <v>7282</v>
      </c>
      <c r="O70" s="738">
        <f t="shared" si="28"/>
        <v>132</v>
      </c>
    </row>
    <row r="71" spans="1:15" ht="20.100000000000001" customHeight="1">
      <c r="A71" s="90" t="s">
        <v>182</v>
      </c>
      <c r="B71" s="113" t="s">
        <v>245</v>
      </c>
      <c r="C71" s="113"/>
      <c r="D71" s="98"/>
      <c r="E71" s="99"/>
      <c r="F71" s="99">
        <v>935</v>
      </c>
      <c r="G71" s="99"/>
      <c r="H71" s="99">
        <v>959</v>
      </c>
      <c r="I71" s="99"/>
      <c r="J71" s="99"/>
      <c r="K71" s="99">
        <v>621</v>
      </c>
      <c r="L71" s="99"/>
      <c r="M71" s="787">
        <f t="shared" si="29"/>
        <v>2515</v>
      </c>
      <c r="N71" s="786">
        <v>2435</v>
      </c>
      <c r="O71" s="738">
        <f t="shared" si="28"/>
        <v>80</v>
      </c>
    </row>
    <row r="72" spans="1:15" ht="20.100000000000001" customHeight="1">
      <c r="A72" s="90" t="s">
        <v>184</v>
      </c>
      <c r="B72" s="113" t="s">
        <v>247</v>
      </c>
      <c r="C72" s="113"/>
      <c r="D72" s="92"/>
      <c r="E72" s="22"/>
      <c r="F72" s="22">
        <v>1269</v>
      </c>
      <c r="G72" s="22"/>
      <c r="H72" s="22">
        <v>1103</v>
      </c>
      <c r="I72" s="22"/>
      <c r="J72" s="22"/>
      <c r="K72" s="22">
        <v>672</v>
      </c>
      <c r="L72" s="22"/>
      <c r="M72" s="787">
        <f t="shared" si="29"/>
        <v>3044</v>
      </c>
      <c r="N72" s="786">
        <v>2906</v>
      </c>
      <c r="O72" s="738">
        <f t="shared" si="28"/>
        <v>138</v>
      </c>
    </row>
    <row r="73" spans="1:15" ht="20.100000000000001" customHeight="1">
      <c r="A73" s="90" t="s">
        <v>187</v>
      </c>
      <c r="B73" s="113" t="s">
        <v>249</v>
      </c>
      <c r="C73" s="113"/>
      <c r="D73" s="98"/>
      <c r="E73" s="99">
        <v>275</v>
      </c>
      <c r="F73" s="99"/>
      <c r="G73" s="99">
        <v>472</v>
      </c>
      <c r="H73" s="99"/>
      <c r="I73" s="99">
        <v>365</v>
      </c>
      <c r="J73" s="99"/>
      <c r="K73" s="99"/>
      <c r="L73" s="99">
        <v>743</v>
      </c>
      <c r="M73" s="787">
        <f t="shared" si="29"/>
        <v>1855</v>
      </c>
      <c r="N73" s="786">
        <v>1941</v>
      </c>
      <c r="O73" s="738">
        <f t="shared" si="28"/>
        <v>-86</v>
      </c>
    </row>
    <row r="74" spans="1:15" ht="20.100000000000001" customHeight="1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787">
        <f t="shared" si="29"/>
        <v>0</v>
      </c>
      <c r="N74" s="786">
        <v>0</v>
      </c>
      <c r="O74" s="738">
        <f t="shared" si="28"/>
        <v>0</v>
      </c>
    </row>
    <row r="75" spans="1:15" ht="20.100000000000001" customHeight="1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787">
        <f t="shared" si="29"/>
        <v>0</v>
      </c>
      <c r="N75" s="786">
        <v>1</v>
      </c>
      <c r="O75" s="738">
        <f t="shared" si="28"/>
        <v>-1</v>
      </c>
    </row>
    <row r="76" spans="1:15" ht="20.100000000000001" customHeight="1">
      <c r="A76" s="90" t="s">
        <v>194</v>
      </c>
      <c r="B76" s="91" t="s">
        <v>261</v>
      </c>
      <c r="C76" s="91"/>
      <c r="D76" s="92"/>
      <c r="E76" s="22">
        <v>9</v>
      </c>
      <c r="F76" s="22">
        <v>119</v>
      </c>
      <c r="G76" s="22">
        <v>2</v>
      </c>
      <c r="H76" s="22">
        <v>165</v>
      </c>
      <c r="I76" s="22">
        <v>14</v>
      </c>
      <c r="J76" s="22">
        <v>4</v>
      </c>
      <c r="K76" s="22">
        <v>84</v>
      </c>
      <c r="L76" s="22">
        <v>12</v>
      </c>
      <c r="M76" s="787">
        <f t="shared" si="29"/>
        <v>409</v>
      </c>
      <c r="N76" s="786">
        <v>416</v>
      </c>
      <c r="O76" s="738">
        <f t="shared" si="28"/>
        <v>-7</v>
      </c>
    </row>
    <row r="77" spans="1:15" ht="20.100000000000001" customHeight="1">
      <c r="A77" s="90" t="s">
        <v>197</v>
      </c>
      <c r="B77" s="113" t="s">
        <v>262</v>
      </c>
      <c r="C77" s="113"/>
      <c r="D77" s="102"/>
      <c r="E77" s="22">
        <v>4271.24</v>
      </c>
      <c r="F77" s="22">
        <v>29104.5</v>
      </c>
      <c r="G77" s="22">
        <v>10862.56</v>
      </c>
      <c r="H77" s="22">
        <v>18768.27</v>
      </c>
      <c r="I77" s="22">
        <v>6516.65</v>
      </c>
      <c r="J77" s="22">
        <v>2216</v>
      </c>
      <c r="K77" s="22">
        <v>11615</v>
      </c>
      <c r="L77" s="22">
        <v>7862.42</v>
      </c>
      <c r="M77" s="19">
        <f t="shared" si="29"/>
        <v>91216.639999999985</v>
      </c>
      <c r="N77" s="786">
        <v>91156.37999999999</v>
      </c>
      <c r="O77" s="738">
        <f t="shared" si="28"/>
        <v>60.259999999994761</v>
      </c>
    </row>
    <row r="78" spans="1:15" ht="20.100000000000001" customHeight="1">
      <c r="A78" s="90" t="s">
        <v>199</v>
      </c>
      <c r="B78" s="113" t="s">
        <v>263</v>
      </c>
      <c r="C78" s="113"/>
      <c r="D78" s="102"/>
      <c r="E78" s="22">
        <v>2987.3</v>
      </c>
      <c r="F78" s="22">
        <v>12612.6</v>
      </c>
      <c r="G78" s="22">
        <v>6259.2</v>
      </c>
      <c r="H78" s="22">
        <v>18000</v>
      </c>
      <c r="I78" s="22">
        <v>4700</v>
      </c>
      <c r="J78" s="22">
        <v>6252</v>
      </c>
      <c r="K78" s="22">
        <v>12000</v>
      </c>
      <c r="L78" s="22">
        <v>4137.5</v>
      </c>
      <c r="M78" s="19">
        <f t="shared" si="29"/>
        <v>66948.600000000006</v>
      </c>
      <c r="N78" s="786">
        <v>66948.600000000006</v>
      </c>
      <c r="O78" s="738">
        <f t="shared" si="28"/>
        <v>0</v>
      </c>
    </row>
    <row r="79" spans="1:15">
      <c r="E79" s="86">
        <v>30</v>
      </c>
      <c r="F79" s="86">
        <v>149.5</v>
      </c>
      <c r="G79" s="86">
        <v>43</v>
      </c>
      <c r="H79" s="86">
        <v>143</v>
      </c>
      <c r="I79" s="86">
        <v>36</v>
      </c>
      <c r="J79" s="86">
        <v>7</v>
      </c>
      <c r="K79" s="86">
        <v>117.5</v>
      </c>
      <c r="L79" s="86">
        <v>59</v>
      </c>
      <c r="M79" s="86">
        <v>585</v>
      </c>
    </row>
    <row r="80" spans="1:15">
      <c r="E80" s="86">
        <f>E4/E79</f>
        <v>332227.08399999997</v>
      </c>
      <c r="F80" s="86">
        <f t="shared" ref="F80:L80" si="31">F4/F79</f>
        <v>371846.51872909698</v>
      </c>
      <c r="G80" s="86">
        <f t="shared" si="31"/>
        <v>320080.26348837209</v>
      </c>
      <c r="H80" s="86">
        <f t="shared" si="31"/>
        <v>379608.87615384621</v>
      </c>
      <c r="I80" s="86">
        <f t="shared" si="31"/>
        <v>323574.95361111104</v>
      </c>
      <c r="J80" s="86">
        <f t="shared" si="31"/>
        <v>370032.6985714286</v>
      </c>
      <c r="K80" s="86">
        <f t="shared" si="31"/>
        <v>378478.89251063822</v>
      </c>
      <c r="L80" s="86">
        <f t="shared" si="31"/>
        <v>329231.89084745763</v>
      </c>
      <c r="M80" s="86">
        <f>M4/M79</f>
        <v>361949.17323076917</v>
      </c>
    </row>
  </sheetData>
  <protectedRanges>
    <protectedRange password="E9C1" sqref="D29 C30 A4:D5 A6:A78 B6:D28 B31:D78 M4:N78 A2:N3" name="区域1_1"/>
    <protectedRange password="E9C1" sqref="B29:C29 B30" name="区域1_1_1"/>
    <protectedRange password="E9C1" sqref="D30" name="区域1_2"/>
  </protectedRanges>
  <mergeCells count="7">
    <mergeCell ref="N42:N63"/>
    <mergeCell ref="O42:O63"/>
    <mergeCell ref="A1:O1"/>
    <mergeCell ref="N4:N30"/>
    <mergeCell ref="O4:O30"/>
    <mergeCell ref="N31:N41"/>
    <mergeCell ref="O31:O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0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A12" sqref="A12:XFD116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781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64" t="s">
        <v>2431</v>
      </c>
      <c r="B1" s="1064"/>
      <c r="C1" s="1064"/>
      <c r="D1" s="1064"/>
      <c r="E1" s="1064"/>
      <c r="F1" s="1064"/>
      <c r="G1" s="1064"/>
      <c r="H1" s="1064"/>
      <c r="I1" s="1064"/>
      <c r="J1" s="1064"/>
    </row>
    <row r="2" spans="1:10" ht="24">
      <c r="A2" s="776" t="s">
        <v>1</v>
      </c>
      <c r="B2" s="776" t="s">
        <v>366</v>
      </c>
      <c r="C2" s="776" t="s">
        <v>367</v>
      </c>
      <c r="D2" s="776" t="s">
        <v>368</v>
      </c>
      <c r="E2" s="782" t="s">
        <v>2433</v>
      </c>
      <c r="F2" s="782" t="s">
        <v>2434</v>
      </c>
      <c r="G2" s="782" t="s">
        <v>2435</v>
      </c>
      <c r="H2" s="782" t="s">
        <v>2436</v>
      </c>
      <c r="I2" s="782" t="s">
        <v>2437</v>
      </c>
      <c r="J2" s="776" t="s">
        <v>371</v>
      </c>
    </row>
    <row r="3" spans="1:10" ht="13.5" customHeight="1">
      <c r="A3" s="776">
        <v>1</v>
      </c>
      <c r="B3" s="777" t="s">
        <v>388</v>
      </c>
      <c r="C3" s="777" t="s">
        <v>389</v>
      </c>
      <c r="D3" s="777" t="s">
        <v>377</v>
      </c>
      <c r="E3" s="777">
        <v>118</v>
      </c>
      <c r="F3" s="779">
        <v>117</v>
      </c>
      <c r="G3" s="778">
        <f t="shared" ref="G3:G11" si="0">(E3+F3)/2</f>
        <v>117.5</v>
      </c>
      <c r="H3" s="777">
        <v>191300</v>
      </c>
      <c r="I3" s="777">
        <v>9430</v>
      </c>
      <c r="J3" s="777">
        <f t="shared" ref="J3:J10" si="1">G3*(H3+I3)</f>
        <v>23585775</v>
      </c>
    </row>
    <row r="4" spans="1:10" ht="13.5" customHeight="1">
      <c r="A4" s="776">
        <v>2</v>
      </c>
      <c r="B4" s="777" t="s">
        <v>390</v>
      </c>
      <c r="C4" s="777" t="s">
        <v>389</v>
      </c>
      <c r="D4" s="777" t="s">
        <v>377</v>
      </c>
      <c r="E4" s="777">
        <v>152</v>
      </c>
      <c r="F4" s="779">
        <v>147</v>
      </c>
      <c r="G4" s="778">
        <f t="shared" si="0"/>
        <v>149.5</v>
      </c>
      <c r="H4" s="777">
        <v>191300</v>
      </c>
      <c r="I4" s="777">
        <v>9430</v>
      </c>
      <c r="J4" s="777">
        <f t="shared" si="1"/>
        <v>30009135</v>
      </c>
    </row>
    <row r="5" spans="1:10" ht="13.5" customHeight="1">
      <c r="A5" s="776">
        <v>3</v>
      </c>
      <c r="B5" s="777" t="s">
        <v>391</v>
      </c>
      <c r="C5" s="777" t="s">
        <v>389</v>
      </c>
      <c r="D5" s="777" t="s">
        <v>377</v>
      </c>
      <c r="E5" s="777">
        <v>143</v>
      </c>
      <c r="F5" s="779">
        <v>143</v>
      </c>
      <c r="G5" s="778">
        <f t="shared" si="0"/>
        <v>143</v>
      </c>
      <c r="H5" s="777">
        <v>191300</v>
      </c>
      <c r="I5" s="777">
        <v>9430</v>
      </c>
      <c r="J5" s="777">
        <f t="shared" si="1"/>
        <v>28704390</v>
      </c>
    </row>
    <row r="6" spans="1:10" ht="13.5" customHeight="1">
      <c r="A6" s="776">
        <v>4</v>
      </c>
      <c r="B6" s="777" t="s">
        <v>392</v>
      </c>
      <c r="C6" s="777" t="s">
        <v>389</v>
      </c>
      <c r="D6" s="777" t="s">
        <v>382</v>
      </c>
      <c r="E6" s="777">
        <v>36</v>
      </c>
      <c r="F6" s="779">
        <v>36</v>
      </c>
      <c r="G6" s="778">
        <f t="shared" si="0"/>
        <v>36</v>
      </c>
      <c r="H6" s="777">
        <v>174600</v>
      </c>
      <c r="I6" s="777">
        <v>9430</v>
      </c>
      <c r="J6" s="777">
        <f t="shared" si="1"/>
        <v>6625080</v>
      </c>
    </row>
    <row r="7" spans="1:10" ht="13.5" customHeight="1">
      <c r="A7" s="776">
        <v>5</v>
      </c>
      <c r="B7" s="777" t="s">
        <v>393</v>
      </c>
      <c r="C7" s="777" t="s">
        <v>389</v>
      </c>
      <c r="D7" s="777" t="s">
        <v>382</v>
      </c>
      <c r="E7" s="777">
        <v>59</v>
      </c>
      <c r="F7" s="779">
        <v>59</v>
      </c>
      <c r="G7" s="778">
        <f t="shared" si="0"/>
        <v>59</v>
      </c>
      <c r="H7" s="777">
        <v>174600</v>
      </c>
      <c r="I7" s="777">
        <v>9430</v>
      </c>
      <c r="J7" s="777">
        <f t="shared" si="1"/>
        <v>10857770</v>
      </c>
    </row>
    <row r="8" spans="1:10" ht="13.5" customHeight="1">
      <c r="A8" s="776">
        <v>6</v>
      </c>
      <c r="B8" s="777" t="s">
        <v>394</v>
      </c>
      <c r="C8" s="777" t="s">
        <v>389</v>
      </c>
      <c r="D8" s="777" t="s">
        <v>382</v>
      </c>
      <c r="E8" s="777">
        <v>30</v>
      </c>
      <c r="F8" s="779">
        <v>30</v>
      </c>
      <c r="G8" s="778">
        <f t="shared" si="0"/>
        <v>30</v>
      </c>
      <c r="H8" s="777">
        <v>174600</v>
      </c>
      <c r="I8" s="777">
        <v>9430</v>
      </c>
      <c r="J8" s="777">
        <f t="shared" si="1"/>
        <v>5520900</v>
      </c>
    </row>
    <row r="9" spans="1:10" ht="13.5" customHeight="1">
      <c r="A9" s="776">
        <v>7</v>
      </c>
      <c r="B9" s="777" t="s">
        <v>395</v>
      </c>
      <c r="C9" s="777" t="s">
        <v>389</v>
      </c>
      <c r="D9" s="777" t="s">
        <v>382</v>
      </c>
      <c r="E9" s="777">
        <v>43</v>
      </c>
      <c r="F9" s="779">
        <v>43</v>
      </c>
      <c r="G9" s="778">
        <f t="shared" si="0"/>
        <v>43</v>
      </c>
      <c r="H9" s="777">
        <v>174600</v>
      </c>
      <c r="I9" s="777">
        <v>9430</v>
      </c>
      <c r="J9" s="777">
        <f t="shared" si="1"/>
        <v>7913290</v>
      </c>
    </row>
    <row r="10" spans="1:10" ht="13.5" customHeight="1">
      <c r="A10" s="776">
        <v>8</v>
      </c>
      <c r="B10" s="777" t="s">
        <v>396</v>
      </c>
      <c r="C10" s="777" t="s">
        <v>389</v>
      </c>
      <c r="D10" s="777" t="s">
        <v>275</v>
      </c>
      <c r="E10" s="777">
        <v>7</v>
      </c>
      <c r="F10" s="779">
        <v>7</v>
      </c>
      <c r="G10" s="778">
        <f t="shared" si="0"/>
        <v>7</v>
      </c>
      <c r="H10" s="777">
        <v>185700</v>
      </c>
      <c r="I10" s="777">
        <v>9430</v>
      </c>
      <c r="J10" s="777">
        <f t="shared" si="1"/>
        <v>1365910</v>
      </c>
    </row>
    <row r="11" spans="1:10" ht="13.5" customHeight="1">
      <c r="A11" s="776"/>
      <c r="B11" s="777"/>
      <c r="C11" s="780" t="s">
        <v>397</v>
      </c>
      <c r="D11" s="777"/>
      <c r="E11" s="779">
        <f>SUM(E3:E10)</f>
        <v>588</v>
      </c>
      <c r="F11" s="779">
        <f>SUM(F3:F10)</f>
        <v>582</v>
      </c>
      <c r="G11" s="778">
        <f t="shared" si="0"/>
        <v>585</v>
      </c>
      <c r="H11" s="779"/>
      <c r="I11" s="779"/>
      <c r="J11" s="777">
        <f>SUM(J3:J10)</f>
        <v>114582250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A23" sqref="A23:XFD264"/>
    </sheetView>
  </sheetViews>
  <sheetFormatPr defaultRowHeight="14.25"/>
  <cols>
    <col min="1" max="1" width="6.375" style="750" customWidth="1"/>
    <col min="2" max="2" width="9.375" style="750" customWidth="1"/>
    <col min="3" max="3" width="17.375" style="750" customWidth="1"/>
    <col min="4" max="4" width="10.125" style="750" customWidth="1"/>
    <col min="5" max="5" width="10.75" style="750" customWidth="1"/>
    <col min="6" max="6" width="11" style="750" customWidth="1"/>
    <col min="7" max="7" width="12" style="750" customWidth="1"/>
    <col min="8" max="8" width="15.625" style="752" customWidth="1"/>
    <col min="9" max="9" width="14.375" style="753" customWidth="1"/>
    <col min="10" max="10" width="6.25" style="750" hidden="1" customWidth="1"/>
    <col min="11" max="11" width="25.875" style="750" hidden="1" customWidth="1"/>
    <col min="12" max="12" width="15.25" style="754" customWidth="1"/>
    <col min="13" max="13" width="15.125" style="750" customWidth="1"/>
    <col min="14" max="14" width="14.125" style="750" customWidth="1"/>
    <col min="15" max="16384" width="9" style="750"/>
  </cols>
  <sheetData>
    <row r="1" spans="1:14" ht="26.25" customHeight="1">
      <c r="A1" s="1065" t="s">
        <v>2394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6"/>
    </row>
    <row r="2" spans="1:14" ht="31.5" customHeight="1">
      <c r="A2" s="755" t="s">
        <v>765</v>
      </c>
      <c r="B2" s="755" t="s">
        <v>596</v>
      </c>
      <c r="C2" s="1067" t="s">
        <v>2395</v>
      </c>
      <c r="D2" s="1068"/>
      <c r="E2" s="756" t="s">
        <v>2396</v>
      </c>
      <c r="F2" s="757" t="s">
        <v>2438</v>
      </c>
      <c r="G2" s="757" t="s">
        <v>2439</v>
      </c>
      <c r="H2" s="758" t="s">
        <v>2440</v>
      </c>
      <c r="I2" s="759" t="s">
        <v>2441</v>
      </c>
      <c r="J2" s="757" t="s">
        <v>2397</v>
      </c>
      <c r="K2" s="760" t="s">
        <v>714</v>
      </c>
      <c r="L2" s="761" t="s">
        <v>2398</v>
      </c>
      <c r="M2" s="783" t="s">
        <v>2442</v>
      </c>
      <c r="N2" s="761" t="s">
        <v>2399</v>
      </c>
    </row>
    <row r="3" spans="1:14" s="751" customFormat="1" ht="12.95" customHeight="1">
      <c r="A3" s="765" t="s">
        <v>767</v>
      </c>
      <c r="B3" s="765" t="s">
        <v>1027</v>
      </c>
      <c r="C3" s="1069" t="s">
        <v>2406</v>
      </c>
      <c r="D3" s="1070"/>
      <c r="E3" s="766" t="s">
        <v>2407</v>
      </c>
      <c r="F3" s="767">
        <v>2</v>
      </c>
      <c r="G3" s="767">
        <v>10</v>
      </c>
      <c r="H3" s="768">
        <v>95250</v>
      </c>
      <c r="I3" s="768">
        <f t="shared" ref="I3:I21" si="0">ROUND(H3*G3,2)</f>
        <v>952500</v>
      </c>
      <c r="J3" s="769" t="s">
        <v>2405</v>
      </c>
      <c r="K3" s="770" t="s">
        <v>2408</v>
      </c>
      <c r="L3" s="763">
        <f t="shared" ref="L3:L15" si="1">ROUND(I3*0.7,0)</f>
        <v>666750</v>
      </c>
      <c r="M3" s="771"/>
      <c r="N3" s="764">
        <f>I3-L3</f>
        <v>285750</v>
      </c>
    </row>
    <row r="4" spans="1:14" s="751" customFormat="1" ht="12.95" customHeight="1">
      <c r="A4" s="765" t="s">
        <v>767</v>
      </c>
      <c r="B4" s="765" t="s">
        <v>1027</v>
      </c>
      <c r="C4" s="1069" t="s">
        <v>2409</v>
      </c>
      <c r="D4" s="1070"/>
      <c r="E4" s="766" t="s">
        <v>2407</v>
      </c>
      <c r="F4" s="767">
        <v>2</v>
      </c>
      <c r="G4" s="767">
        <v>10</v>
      </c>
      <c r="H4" s="768">
        <v>95250</v>
      </c>
      <c r="I4" s="768">
        <f t="shared" si="0"/>
        <v>952500</v>
      </c>
      <c r="J4" s="769" t="s">
        <v>2405</v>
      </c>
      <c r="K4" s="770"/>
      <c r="L4" s="763">
        <f t="shared" si="1"/>
        <v>666750</v>
      </c>
      <c r="M4" s="771"/>
      <c r="N4" s="764">
        <f>I4-L4</f>
        <v>285750</v>
      </c>
    </row>
    <row r="5" spans="1:14" s="751" customFormat="1" ht="12.95" customHeight="1">
      <c r="A5" s="765" t="s">
        <v>767</v>
      </c>
      <c r="B5" s="765" t="s">
        <v>1027</v>
      </c>
      <c r="C5" s="1069" t="s">
        <v>2410</v>
      </c>
      <c r="D5" s="1070"/>
      <c r="E5" s="766" t="s">
        <v>2407</v>
      </c>
      <c r="F5" s="767">
        <v>2</v>
      </c>
      <c r="G5" s="767">
        <v>10</v>
      </c>
      <c r="H5" s="768">
        <v>95250</v>
      </c>
      <c r="I5" s="768">
        <f t="shared" si="0"/>
        <v>952500</v>
      </c>
      <c r="J5" s="769" t="s">
        <v>2405</v>
      </c>
      <c r="K5" s="770"/>
      <c r="L5" s="763">
        <f t="shared" si="1"/>
        <v>666750</v>
      </c>
      <c r="M5" s="771"/>
      <c r="N5" s="764">
        <f>I5-L5</f>
        <v>285750</v>
      </c>
    </row>
    <row r="6" spans="1:14" s="751" customFormat="1" ht="12.95" customHeight="1">
      <c r="A6" s="765" t="s">
        <v>767</v>
      </c>
      <c r="B6" s="769" t="s">
        <v>2400</v>
      </c>
      <c r="C6" s="767" t="s">
        <v>2411</v>
      </c>
      <c r="D6" s="769" t="s">
        <v>2403</v>
      </c>
      <c r="E6" s="766" t="s">
        <v>2407</v>
      </c>
      <c r="F6" s="767">
        <v>1</v>
      </c>
      <c r="G6" s="767">
        <v>5</v>
      </c>
      <c r="H6" s="768">
        <v>95250</v>
      </c>
      <c r="I6" s="768">
        <f t="shared" si="0"/>
        <v>476250</v>
      </c>
      <c r="J6" s="769" t="s">
        <v>2405</v>
      </c>
      <c r="K6" s="770"/>
      <c r="L6" s="763">
        <f t="shared" si="1"/>
        <v>333375</v>
      </c>
      <c r="M6" s="771"/>
      <c r="N6" s="764">
        <f>I6-L6</f>
        <v>142875</v>
      </c>
    </row>
    <row r="7" spans="1:14" s="751" customFormat="1" ht="12.95" customHeight="1">
      <c r="A7" s="765" t="s">
        <v>767</v>
      </c>
      <c r="B7" s="769" t="s">
        <v>2400</v>
      </c>
      <c r="C7" s="767" t="s">
        <v>2411</v>
      </c>
      <c r="D7" s="769" t="s">
        <v>2404</v>
      </c>
      <c r="E7" s="766" t="s">
        <v>2407</v>
      </c>
      <c r="F7" s="767">
        <v>1</v>
      </c>
      <c r="G7" s="767">
        <v>5</v>
      </c>
      <c r="H7" s="768">
        <v>95250</v>
      </c>
      <c r="I7" s="768">
        <f t="shared" si="0"/>
        <v>476250</v>
      </c>
      <c r="J7" s="769" t="s">
        <v>2412</v>
      </c>
      <c r="K7" s="770"/>
      <c r="L7" s="763">
        <f t="shared" si="1"/>
        <v>333375</v>
      </c>
      <c r="M7" s="771"/>
      <c r="N7" s="764">
        <f>I7-L7</f>
        <v>142875</v>
      </c>
    </row>
    <row r="8" spans="1:14" s="751" customFormat="1" ht="12.95" customHeight="1">
      <c r="A8" s="765" t="s">
        <v>767</v>
      </c>
      <c r="B8" s="769" t="s">
        <v>2400</v>
      </c>
      <c r="C8" s="767" t="s">
        <v>2413</v>
      </c>
      <c r="D8" s="769" t="s">
        <v>2403</v>
      </c>
      <c r="E8" s="766" t="s">
        <v>2407</v>
      </c>
      <c r="F8" s="767">
        <v>1</v>
      </c>
      <c r="G8" s="767">
        <v>5</v>
      </c>
      <c r="H8" s="768">
        <v>95250</v>
      </c>
      <c r="I8" s="768">
        <f t="shared" si="0"/>
        <v>476250</v>
      </c>
      <c r="J8" s="769" t="s">
        <v>2412</v>
      </c>
      <c r="K8" s="770"/>
      <c r="L8" s="763">
        <f t="shared" si="1"/>
        <v>333375</v>
      </c>
      <c r="M8" s="764">
        <f>16337.41-3351</f>
        <v>12986.41</v>
      </c>
      <c r="N8" s="771">
        <f>126537.59+3351</f>
        <v>129888.59</v>
      </c>
    </row>
    <row r="9" spans="1:14" s="751" customFormat="1" ht="12.95" customHeight="1">
      <c r="A9" s="765" t="s">
        <v>767</v>
      </c>
      <c r="B9" s="769" t="s">
        <v>2400</v>
      </c>
      <c r="C9" s="767" t="s">
        <v>2413</v>
      </c>
      <c r="D9" s="769" t="s">
        <v>2404</v>
      </c>
      <c r="E9" s="766" t="s">
        <v>2407</v>
      </c>
      <c r="F9" s="767">
        <v>1</v>
      </c>
      <c r="G9" s="767">
        <v>5</v>
      </c>
      <c r="H9" s="768">
        <v>95250</v>
      </c>
      <c r="I9" s="768">
        <f t="shared" si="0"/>
        <v>476250</v>
      </c>
      <c r="J9" s="769" t="s">
        <v>2412</v>
      </c>
      <c r="K9" s="770"/>
      <c r="L9" s="763">
        <f t="shared" si="1"/>
        <v>333375</v>
      </c>
      <c r="M9" s="764">
        <f t="shared" ref="M9:M21" si="2">I9-L9</f>
        <v>142875</v>
      </c>
      <c r="N9" s="771"/>
    </row>
    <row r="10" spans="1:14" s="751" customFormat="1" ht="12.95" customHeight="1">
      <c r="A10" s="765" t="s">
        <v>767</v>
      </c>
      <c r="B10" s="769" t="s">
        <v>2400</v>
      </c>
      <c r="C10" s="1069" t="s">
        <v>2414</v>
      </c>
      <c r="D10" s="1070"/>
      <c r="E10" s="766" t="s">
        <v>2407</v>
      </c>
      <c r="F10" s="767">
        <v>1</v>
      </c>
      <c r="G10" s="767">
        <v>5</v>
      </c>
      <c r="H10" s="768">
        <v>95250</v>
      </c>
      <c r="I10" s="768">
        <f t="shared" si="0"/>
        <v>476250</v>
      </c>
      <c r="J10" s="769" t="s">
        <v>2405</v>
      </c>
      <c r="K10" s="770"/>
      <c r="L10" s="763">
        <f t="shared" si="1"/>
        <v>333375</v>
      </c>
      <c r="M10" s="764">
        <f t="shared" si="2"/>
        <v>142875</v>
      </c>
    </row>
    <row r="11" spans="1:14" s="751" customFormat="1" ht="12.95" customHeight="1">
      <c r="A11" s="765" t="s">
        <v>767</v>
      </c>
      <c r="B11" s="769" t="s">
        <v>2400</v>
      </c>
      <c r="C11" s="767" t="s">
        <v>2415</v>
      </c>
      <c r="D11" s="769" t="s">
        <v>2416</v>
      </c>
      <c r="E11" s="766" t="s">
        <v>2407</v>
      </c>
      <c r="F11" s="767">
        <v>1</v>
      </c>
      <c r="G11" s="767">
        <v>5</v>
      </c>
      <c r="H11" s="768">
        <v>95250</v>
      </c>
      <c r="I11" s="768">
        <f t="shared" si="0"/>
        <v>476250</v>
      </c>
      <c r="J11" s="769" t="s">
        <v>2412</v>
      </c>
      <c r="K11" s="770"/>
      <c r="L11" s="763">
        <f t="shared" si="1"/>
        <v>333375</v>
      </c>
      <c r="M11" s="764">
        <f t="shared" si="2"/>
        <v>142875</v>
      </c>
      <c r="N11" s="771"/>
    </row>
    <row r="12" spans="1:14" s="751" customFormat="1" ht="12.95" customHeight="1">
      <c r="A12" s="765" t="s">
        <v>767</v>
      </c>
      <c r="B12" s="769" t="s">
        <v>2400</v>
      </c>
      <c r="C12" s="767" t="s">
        <v>2415</v>
      </c>
      <c r="D12" s="769" t="s">
        <v>2417</v>
      </c>
      <c r="E12" s="766" t="s">
        <v>2407</v>
      </c>
      <c r="F12" s="767">
        <v>1</v>
      </c>
      <c r="G12" s="767">
        <v>5</v>
      </c>
      <c r="H12" s="768">
        <v>95250</v>
      </c>
      <c r="I12" s="768">
        <f t="shared" si="0"/>
        <v>476250</v>
      </c>
      <c r="J12" s="769" t="s">
        <v>2405</v>
      </c>
      <c r="K12" s="770"/>
      <c r="L12" s="763">
        <f t="shared" si="1"/>
        <v>333375</v>
      </c>
      <c r="M12" s="764">
        <f t="shared" si="2"/>
        <v>142875</v>
      </c>
      <c r="N12" s="771"/>
    </row>
    <row r="13" spans="1:14" s="751" customFormat="1" ht="12.95" customHeight="1">
      <c r="A13" s="772" t="s">
        <v>780</v>
      </c>
      <c r="B13" s="767" t="s">
        <v>2401</v>
      </c>
      <c r="C13" s="772" t="s">
        <v>2418</v>
      </c>
      <c r="D13" s="769" t="s">
        <v>2419</v>
      </c>
      <c r="E13" s="766" t="s">
        <v>2407</v>
      </c>
      <c r="F13" s="767">
        <v>1</v>
      </c>
      <c r="G13" s="767">
        <v>7</v>
      </c>
      <c r="H13" s="768">
        <v>95250</v>
      </c>
      <c r="I13" s="768">
        <f t="shared" si="0"/>
        <v>666750</v>
      </c>
      <c r="J13" s="769"/>
      <c r="K13" s="770"/>
      <c r="L13" s="763">
        <f t="shared" si="1"/>
        <v>466725</v>
      </c>
      <c r="M13" s="764">
        <f t="shared" si="2"/>
        <v>200025</v>
      </c>
      <c r="N13" s="771"/>
    </row>
    <row r="14" spans="1:14" s="751" customFormat="1" ht="12.95" customHeight="1">
      <c r="A14" s="772" t="s">
        <v>780</v>
      </c>
      <c r="B14" s="767" t="s">
        <v>2401</v>
      </c>
      <c r="C14" s="772" t="s">
        <v>2418</v>
      </c>
      <c r="D14" s="769" t="s">
        <v>2420</v>
      </c>
      <c r="E14" s="766" t="s">
        <v>2407</v>
      </c>
      <c r="F14" s="767">
        <v>1</v>
      </c>
      <c r="G14" s="767">
        <v>5</v>
      </c>
      <c r="H14" s="768">
        <v>95250</v>
      </c>
      <c r="I14" s="768">
        <f t="shared" si="0"/>
        <v>476250</v>
      </c>
      <c r="J14" s="769"/>
      <c r="K14" s="770"/>
      <c r="L14" s="763">
        <f t="shared" si="1"/>
        <v>333375</v>
      </c>
      <c r="M14" s="764">
        <f t="shared" si="2"/>
        <v>142875</v>
      </c>
      <c r="N14" s="771"/>
    </row>
    <row r="15" spans="1:14" s="751" customFormat="1" ht="12.95" customHeight="1">
      <c r="A15" s="769" t="s">
        <v>780</v>
      </c>
      <c r="B15" s="769" t="s">
        <v>2400</v>
      </c>
      <c r="C15" s="1071" t="s">
        <v>2421</v>
      </c>
      <c r="D15" s="1072"/>
      <c r="E15" s="774" t="s">
        <v>2407</v>
      </c>
      <c r="F15" s="767">
        <v>1</v>
      </c>
      <c r="G15" s="767">
        <v>1</v>
      </c>
      <c r="H15" s="768">
        <v>95250</v>
      </c>
      <c r="I15" s="762">
        <f t="shared" si="0"/>
        <v>95250</v>
      </c>
      <c r="J15" s="769"/>
      <c r="K15" s="770"/>
      <c r="L15" s="763">
        <f t="shared" si="1"/>
        <v>66675</v>
      </c>
      <c r="M15" s="764">
        <f t="shared" si="2"/>
        <v>28575</v>
      </c>
      <c r="N15" s="771"/>
    </row>
    <row r="16" spans="1:14" s="751" customFormat="1" ht="12.95" customHeight="1">
      <c r="A16" s="769" t="s">
        <v>780</v>
      </c>
      <c r="B16" s="769" t="s">
        <v>2400</v>
      </c>
      <c r="C16" s="1071" t="s">
        <v>2422</v>
      </c>
      <c r="D16" s="1072"/>
      <c r="E16" s="774" t="s">
        <v>2407</v>
      </c>
      <c r="F16" s="767">
        <v>1</v>
      </c>
      <c r="G16" s="767">
        <v>2</v>
      </c>
      <c r="H16" s="768">
        <v>95250</v>
      </c>
      <c r="I16" s="768">
        <f t="shared" si="0"/>
        <v>190500</v>
      </c>
      <c r="J16" s="769"/>
      <c r="K16" s="770"/>
      <c r="L16" s="763">
        <f t="shared" ref="L16:L21" si="3">ROUND(I16*0.7,0)</f>
        <v>133350</v>
      </c>
      <c r="M16" s="764">
        <f t="shared" si="2"/>
        <v>57150</v>
      </c>
      <c r="N16" s="771"/>
    </row>
    <row r="17" spans="1:14" s="751" customFormat="1" ht="12.95" customHeight="1">
      <c r="A17" s="769" t="s">
        <v>780</v>
      </c>
      <c r="B17" s="769" t="s">
        <v>2400</v>
      </c>
      <c r="C17" s="1071" t="s">
        <v>2423</v>
      </c>
      <c r="D17" s="1072"/>
      <c r="E17" s="774" t="s">
        <v>2407</v>
      </c>
      <c r="F17" s="767">
        <v>1</v>
      </c>
      <c r="G17" s="767">
        <v>2</v>
      </c>
      <c r="H17" s="768">
        <v>95250</v>
      </c>
      <c r="I17" s="768">
        <f t="shared" si="0"/>
        <v>190500</v>
      </c>
      <c r="J17" s="769"/>
      <c r="K17" s="770"/>
      <c r="L17" s="763">
        <f t="shared" si="3"/>
        <v>133350</v>
      </c>
      <c r="M17" s="764">
        <f t="shared" si="2"/>
        <v>57150</v>
      </c>
      <c r="N17" s="771"/>
    </row>
    <row r="18" spans="1:14" s="751" customFormat="1" ht="12.95" customHeight="1">
      <c r="A18" s="769" t="s">
        <v>780</v>
      </c>
      <c r="B18" s="769" t="s">
        <v>2400</v>
      </c>
      <c r="C18" s="1071" t="s">
        <v>2424</v>
      </c>
      <c r="D18" s="1072"/>
      <c r="E18" s="774" t="s">
        <v>2407</v>
      </c>
      <c r="F18" s="767">
        <v>1</v>
      </c>
      <c r="G18" s="767">
        <v>2</v>
      </c>
      <c r="H18" s="768">
        <v>95250</v>
      </c>
      <c r="I18" s="768">
        <f t="shared" si="0"/>
        <v>190500</v>
      </c>
      <c r="J18" s="769"/>
      <c r="K18" s="770"/>
      <c r="L18" s="763">
        <f t="shared" si="3"/>
        <v>133350</v>
      </c>
      <c r="M18" s="764">
        <f t="shared" si="2"/>
        <v>57150</v>
      </c>
      <c r="N18" s="771"/>
    </row>
    <row r="19" spans="1:14" s="751" customFormat="1" ht="12.95" customHeight="1">
      <c r="A19" s="769" t="s">
        <v>780</v>
      </c>
      <c r="B19" s="772" t="s">
        <v>2402</v>
      </c>
      <c r="C19" s="1071" t="s">
        <v>2425</v>
      </c>
      <c r="D19" s="1072"/>
      <c r="E19" s="774" t="s">
        <v>2407</v>
      </c>
      <c r="F19" s="767">
        <v>1</v>
      </c>
      <c r="G19" s="767">
        <v>1</v>
      </c>
      <c r="H19" s="768">
        <v>95250</v>
      </c>
      <c r="I19" s="768">
        <f t="shared" si="0"/>
        <v>95250</v>
      </c>
      <c r="J19" s="769"/>
      <c r="K19" s="770"/>
      <c r="L19" s="763">
        <f t="shared" si="3"/>
        <v>66675</v>
      </c>
      <c r="M19" s="764">
        <f t="shared" si="2"/>
        <v>28575</v>
      </c>
      <c r="N19" s="771"/>
    </row>
    <row r="20" spans="1:14" s="751" customFormat="1" ht="12.95" customHeight="1">
      <c r="A20" s="769" t="s">
        <v>780</v>
      </c>
      <c r="B20" s="772" t="s">
        <v>2402</v>
      </c>
      <c r="C20" s="1071" t="s">
        <v>2426</v>
      </c>
      <c r="D20" s="1072"/>
      <c r="E20" s="774" t="s">
        <v>2407</v>
      </c>
      <c r="F20" s="767">
        <v>1</v>
      </c>
      <c r="G20" s="767">
        <v>1</v>
      </c>
      <c r="H20" s="768">
        <v>95250</v>
      </c>
      <c r="I20" s="768">
        <f t="shared" si="0"/>
        <v>95250</v>
      </c>
      <c r="J20" s="769"/>
      <c r="K20" s="770"/>
      <c r="L20" s="763">
        <f t="shared" si="3"/>
        <v>66675</v>
      </c>
      <c r="M20" s="764">
        <f t="shared" si="2"/>
        <v>28575</v>
      </c>
      <c r="N20" s="771"/>
    </row>
    <row r="21" spans="1:14" s="751" customFormat="1" ht="12.95" customHeight="1">
      <c r="A21" s="769" t="s">
        <v>780</v>
      </c>
      <c r="B21" s="772" t="s">
        <v>2402</v>
      </c>
      <c r="C21" s="1071" t="s">
        <v>2427</v>
      </c>
      <c r="D21" s="1072"/>
      <c r="E21" s="774" t="s">
        <v>2407</v>
      </c>
      <c r="F21" s="767">
        <v>1</v>
      </c>
      <c r="G21" s="767">
        <v>1</v>
      </c>
      <c r="H21" s="768">
        <v>95250</v>
      </c>
      <c r="I21" s="768">
        <f t="shared" si="0"/>
        <v>95250</v>
      </c>
      <c r="J21" s="769"/>
      <c r="K21" s="770"/>
      <c r="L21" s="763">
        <f t="shared" si="3"/>
        <v>66675</v>
      </c>
      <c r="M21" s="764">
        <f t="shared" si="2"/>
        <v>28575</v>
      </c>
      <c r="N21" s="771"/>
    </row>
    <row r="22" spans="1:14" s="751" customFormat="1" ht="12.95" customHeight="1">
      <c r="A22" s="1073" t="s">
        <v>2428</v>
      </c>
      <c r="B22" s="1074"/>
      <c r="C22" s="1074"/>
      <c r="D22" s="1074"/>
      <c r="E22" s="1075"/>
      <c r="F22" s="773">
        <f>SUM(F3:F21)</f>
        <v>22</v>
      </c>
      <c r="G22" s="773">
        <f t="shared" ref="G22:M22" si="4">SUM(G3:G21)</f>
        <v>87</v>
      </c>
      <c r="H22" s="773"/>
      <c r="I22" s="773">
        <f t="shared" si="4"/>
        <v>8286750</v>
      </c>
      <c r="J22" s="773">
        <f t="shared" si="4"/>
        <v>0</v>
      </c>
      <c r="K22" s="773">
        <f t="shared" si="4"/>
        <v>0</v>
      </c>
      <c r="L22" s="773">
        <f t="shared" si="4"/>
        <v>5800725</v>
      </c>
      <c r="M22" s="773">
        <f t="shared" si="4"/>
        <v>1213136.4100000001</v>
      </c>
      <c r="N22" s="775">
        <f>SUM(N3:N21)</f>
        <v>1272888.5900000001</v>
      </c>
    </row>
  </sheetData>
  <mergeCells count="14">
    <mergeCell ref="C19:D19"/>
    <mergeCell ref="C20:D20"/>
    <mergeCell ref="C21:D21"/>
    <mergeCell ref="A22:E22"/>
    <mergeCell ref="C10:D10"/>
    <mergeCell ref="C15:D15"/>
    <mergeCell ref="C16:D16"/>
    <mergeCell ref="C17:D17"/>
    <mergeCell ref="C18:D18"/>
    <mergeCell ref="A1:M1"/>
    <mergeCell ref="C2:D2"/>
    <mergeCell ref="C3:D3"/>
    <mergeCell ref="C4:D4"/>
    <mergeCell ref="C5:D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11"/>
  <sheetViews>
    <sheetView topLeftCell="B1" workbookViewId="0">
      <pane xSplit="2" ySplit="3" topLeftCell="AH4" activePane="bottomRight" state="frozen"/>
      <selection activeCell="B1" sqref="B1"/>
      <selection pane="topRight" activeCell="D1" sqref="D1"/>
      <selection pane="bottomLeft" activeCell="B4" sqref="B4"/>
      <selection pane="bottomRight" activeCell="B12" sqref="A12:XFD115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76" t="s">
        <v>2091</v>
      </c>
      <c r="B1" s="858"/>
      <c r="C1" s="858"/>
      <c r="D1" s="858"/>
      <c r="E1" s="858"/>
      <c r="F1" s="858"/>
      <c r="G1" s="858"/>
      <c r="H1" s="858"/>
      <c r="I1" s="858"/>
      <c r="J1" s="858"/>
      <c r="K1" s="858"/>
      <c r="L1" s="858"/>
      <c r="M1" s="858"/>
      <c r="N1" s="858"/>
      <c r="O1" s="858"/>
      <c r="P1" s="858"/>
      <c r="Q1" s="858"/>
      <c r="R1" s="858"/>
      <c r="S1" s="858"/>
      <c r="T1" s="858"/>
      <c r="U1" s="858"/>
      <c r="V1" s="858"/>
      <c r="W1" s="858"/>
      <c r="X1" s="858"/>
      <c r="Y1" s="858"/>
      <c r="Z1" s="858"/>
      <c r="AA1" s="858"/>
      <c r="AB1" s="858"/>
      <c r="AC1" s="858"/>
      <c r="AD1" s="858"/>
      <c r="AE1" s="858"/>
      <c r="AF1" s="858"/>
      <c r="AG1" s="858"/>
      <c r="AH1" s="858"/>
      <c r="AI1" s="858"/>
      <c r="AJ1" s="858"/>
      <c r="AK1" s="858"/>
      <c r="AL1" s="858"/>
      <c r="AM1" s="858"/>
      <c r="AN1" s="858"/>
      <c r="AO1" s="858"/>
      <c r="AP1" s="858"/>
      <c r="AQ1" s="858"/>
      <c r="AR1" s="858"/>
      <c r="AS1" s="858"/>
      <c r="AT1" s="858"/>
      <c r="AU1" s="807"/>
      <c r="AV1" s="807"/>
      <c r="AW1" s="807"/>
    </row>
    <row r="2" spans="1:51" ht="11.25" customHeight="1">
      <c r="A2" s="1051" t="s">
        <v>594</v>
      </c>
      <c r="B2" s="1051" t="s">
        <v>595</v>
      </c>
      <c r="C2" s="1051" t="s">
        <v>596</v>
      </c>
      <c r="D2" s="1051" t="s">
        <v>2092</v>
      </c>
      <c r="E2" s="1051" t="s">
        <v>597</v>
      </c>
      <c r="F2" s="1051"/>
      <c r="G2" s="1051"/>
      <c r="H2" s="1051"/>
      <c r="I2" s="1051"/>
      <c r="J2" s="1051" t="s">
        <v>2093</v>
      </c>
      <c r="K2" s="1051"/>
      <c r="L2" s="1051"/>
      <c r="M2" s="1051"/>
      <c r="N2" s="1051"/>
      <c r="O2" s="835" t="s">
        <v>2094</v>
      </c>
      <c r="P2" s="835"/>
      <c r="Q2" s="835"/>
      <c r="R2" s="835"/>
      <c r="S2" s="835"/>
      <c r="T2" s="835" t="s">
        <v>598</v>
      </c>
      <c r="U2" s="835"/>
      <c r="V2" s="835"/>
      <c r="W2" s="835"/>
      <c r="X2" s="835"/>
      <c r="Y2" s="835" t="s">
        <v>599</v>
      </c>
      <c r="Z2" s="835"/>
      <c r="AA2" s="835"/>
      <c r="AB2" s="835"/>
      <c r="AC2" s="835"/>
      <c r="AD2" s="1051" t="s">
        <v>2383</v>
      </c>
      <c r="AE2" s="1051"/>
      <c r="AF2" s="1051"/>
      <c r="AG2" s="1051"/>
      <c r="AH2" s="1051"/>
      <c r="AI2" s="1051"/>
      <c r="AJ2" s="1051"/>
      <c r="AK2" s="1051"/>
      <c r="AL2" s="1051"/>
      <c r="AM2" s="1051"/>
      <c r="AN2" s="1051"/>
      <c r="AO2" s="1051"/>
      <c r="AP2" s="1051"/>
      <c r="AQ2" s="1055" t="s">
        <v>2384</v>
      </c>
      <c r="AR2" s="1055" t="s">
        <v>2432</v>
      </c>
      <c r="AS2" s="1055" t="s">
        <v>2387</v>
      </c>
      <c r="AT2" s="1055" t="s">
        <v>2388</v>
      </c>
      <c r="AU2" s="1077" t="s">
        <v>2389</v>
      </c>
      <c r="AV2" s="1056" t="s">
        <v>2390</v>
      </c>
      <c r="AW2" s="1056" t="s">
        <v>2393</v>
      </c>
    </row>
    <row r="3" spans="1:51" ht="33.75">
      <c r="A3" s="1051"/>
      <c r="B3" s="1051"/>
      <c r="C3" s="1051"/>
      <c r="D3" s="1051"/>
      <c r="E3" s="671" t="s">
        <v>600</v>
      </c>
      <c r="F3" s="671" t="s">
        <v>601</v>
      </c>
      <c r="G3" s="671" t="s">
        <v>602</v>
      </c>
      <c r="H3" s="671" t="s">
        <v>603</v>
      </c>
      <c r="I3" s="74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4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44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44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4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2381</v>
      </c>
      <c r="AM3" s="671" t="s">
        <v>2386</v>
      </c>
      <c r="AN3" s="671" t="s">
        <v>2385</v>
      </c>
      <c r="AO3" s="671" t="s">
        <v>2382</v>
      </c>
      <c r="AP3" s="740" t="s">
        <v>531</v>
      </c>
      <c r="AQ3" s="1053"/>
      <c r="AR3" s="1053"/>
      <c r="AS3" s="1053"/>
      <c r="AT3" s="1053"/>
      <c r="AU3" s="1078"/>
      <c r="AV3" s="1057"/>
      <c r="AW3" s="1057"/>
    </row>
    <row r="4" spans="1:51" ht="15" customHeight="1">
      <c r="A4" s="141" t="s">
        <v>541</v>
      </c>
      <c r="B4" s="240" t="s">
        <v>2104</v>
      </c>
      <c r="C4" s="240" t="s">
        <v>2099</v>
      </c>
      <c r="D4" s="672">
        <v>2</v>
      </c>
      <c r="E4" s="673">
        <v>1.67</v>
      </c>
      <c r="F4" s="673">
        <v>3.67</v>
      </c>
      <c r="G4" s="673">
        <v>24.33</v>
      </c>
      <c r="H4" s="673">
        <v>2.67</v>
      </c>
      <c r="I4" s="144">
        <f t="shared" ref="I4:I10" si="0">SUM(E4:H4)</f>
        <v>32.339999999999996</v>
      </c>
      <c r="J4" s="674">
        <v>0</v>
      </c>
      <c r="K4" s="674">
        <v>2</v>
      </c>
      <c r="L4" s="674">
        <v>0</v>
      </c>
      <c r="M4" s="674">
        <v>0</v>
      </c>
      <c r="N4" s="144">
        <f t="shared" ref="N4:N10" si="1">SUM(J4:M4)</f>
        <v>2</v>
      </c>
      <c r="O4" s="144">
        <f>E4+J4</f>
        <v>1.67</v>
      </c>
      <c r="P4" s="144">
        <f t="shared" ref="P4:R10" si="2">F4+K4</f>
        <v>5.67</v>
      </c>
      <c r="Q4" s="144">
        <f t="shared" si="2"/>
        <v>24.33</v>
      </c>
      <c r="R4" s="144">
        <f t="shared" si="2"/>
        <v>2.67</v>
      </c>
      <c r="S4" s="144">
        <f t="shared" ref="S4:S10" si="3">SUM(O4:R4)</f>
        <v>34.339999999999996</v>
      </c>
      <c r="T4" s="672">
        <v>3</v>
      </c>
      <c r="U4" s="672">
        <v>5</v>
      </c>
      <c r="V4" s="672">
        <v>25</v>
      </c>
      <c r="W4" s="672">
        <v>1</v>
      </c>
      <c r="X4" s="144">
        <f t="shared" ref="X4:X10" si="4">SUM(T4:W4)</f>
        <v>34</v>
      </c>
      <c r="Y4" s="672">
        <v>3</v>
      </c>
      <c r="Z4" s="672">
        <v>5</v>
      </c>
      <c r="AA4" s="672">
        <v>25</v>
      </c>
      <c r="AB4" s="672">
        <v>1</v>
      </c>
      <c r="AC4" s="144">
        <f t="shared" ref="AC4:AC10" si="5">SUM(Y4:AB4)</f>
        <v>34</v>
      </c>
      <c r="AD4" s="144">
        <f t="shared" ref="AD4:AD10" si="6">(Y4*6017+Z4*5250+AA4*5194+AB4*4250)*12+AB4*50*5</f>
        <v>2141062</v>
      </c>
      <c r="AE4" s="144">
        <f t="shared" ref="AE4:AE10" si="7">AC4*4320</f>
        <v>146880</v>
      </c>
      <c r="AF4" s="144">
        <f t="shared" ref="AF4:AF10" si="8">AC4*6000</f>
        <v>204000</v>
      </c>
      <c r="AG4" s="144">
        <f t="shared" ref="AG4:AG10" si="9">AC4*2400</f>
        <v>81600</v>
      </c>
      <c r="AH4" s="144">
        <f t="shared" ref="AH4:AH10" si="10">AC4*8800</f>
        <v>299200</v>
      </c>
      <c r="AI4" s="144">
        <f t="shared" ref="AI4:AI10" si="11">AC4*800</f>
        <v>27200</v>
      </c>
      <c r="AJ4" s="144">
        <f t="shared" ref="AJ4:AJ10" si="12">D4*50*200</f>
        <v>20000</v>
      </c>
      <c r="AK4" s="144">
        <f t="shared" ref="AK4:AK10" si="13">AC4*960</f>
        <v>32640</v>
      </c>
      <c r="AL4" s="144">
        <f t="shared" ref="AL4:AL10" si="14">ROUND((AD4+AH4+AI4+AJ4+AM4)*0.35256,2)</f>
        <v>876979.6</v>
      </c>
      <c r="AM4" s="144"/>
      <c r="AN4" s="144"/>
      <c r="AO4" s="144">
        <v>22000</v>
      </c>
      <c r="AP4" s="144">
        <f t="shared" ref="AP4:AP10" si="15">SUM(AD4:AO4)</f>
        <v>3851561.6</v>
      </c>
      <c r="AQ4" s="144">
        <v>3794075.64</v>
      </c>
      <c r="AR4" s="144">
        <f t="shared" ref="AR4:AR10" si="16">(Y4*450+Z4*300+AA4*100+AB4*50)*6+AC4*300-AB4*50*5</f>
        <v>42350</v>
      </c>
      <c r="AS4" s="144">
        <f t="shared" ref="AS4:AS10" si="17">AQ4+AR4</f>
        <v>3836425.64</v>
      </c>
      <c r="AT4" s="675">
        <v>2378962</v>
      </c>
      <c r="AU4" s="743">
        <v>792987</v>
      </c>
      <c r="AV4" s="610">
        <f t="shared" ref="AV4:AV10" si="18">AS4-AT4-AU4</f>
        <v>664476.64000000013</v>
      </c>
      <c r="AW4" s="610"/>
      <c r="AX4" s="145">
        <f>AP4-AQ4</f>
        <v>57485.959999999963</v>
      </c>
    </row>
    <row r="5" spans="1:51" ht="15" customHeight="1">
      <c r="A5" s="141" t="s">
        <v>541</v>
      </c>
      <c r="B5" s="240" t="s">
        <v>394</v>
      </c>
      <c r="C5" s="240" t="s">
        <v>2099</v>
      </c>
      <c r="D5" s="672">
        <v>1</v>
      </c>
      <c r="E5" s="673">
        <v>0</v>
      </c>
      <c r="F5" s="673">
        <v>2</v>
      </c>
      <c r="G5" s="673">
        <v>14.33</v>
      </c>
      <c r="H5" s="673">
        <v>2.67</v>
      </c>
      <c r="I5" s="144">
        <f t="shared" si="0"/>
        <v>19</v>
      </c>
      <c r="J5" s="674">
        <v>1.08</v>
      </c>
      <c r="K5" s="674">
        <v>0</v>
      </c>
      <c r="L5" s="674">
        <v>0</v>
      </c>
      <c r="M5" s="674">
        <v>0</v>
      </c>
      <c r="N5" s="144">
        <f t="shared" si="1"/>
        <v>1.08</v>
      </c>
      <c r="O5" s="144">
        <f t="shared" ref="O5:O10" si="19">E5+J5</f>
        <v>1.08</v>
      </c>
      <c r="P5" s="144">
        <f t="shared" si="2"/>
        <v>2</v>
      </c>
      <c r="Q5" s="144">
        <f t="shared" si="2"/>
        <v>14.33</v>
      </c>
      <c r="R5" s="144">
        <f t="shared" si="2"/>
        <v>2.67</v>
      </c>
      <c r="S5" s="144">
        <f t="shared" si="3"/>
        <v>20.079999999999998</v>
      </c>
      <c r="T5" s="672">
        <v>1.08</v>
      </c>
      <c r="U5" s="672">
        <v>2</v>
      </c>
      <c r="V5" s="672">
        <v>15</v>
      </c>
      <c r="W5" s="672">
        <v>2</v>
      </c>
      <c r="X5" s="144">
        <f t="shared" si="4"/>
        <v>20.079999999999998</v>
      </c>
      <c r="Y5" s="672">
        <v>1.08</v>
      </c>
      <c r="Z5" s="672">
        <v>2</v>
      </c>
      <c r="AA5" s="672">
        <v>15</v>
      </c>
      <c r="AB5" s="672">
        <v>2</v>
      </c>
      <c r="AC5" s="144">
        <f t="shared" si="5"/>
        <v>20.079999999999998</v>
      </c>
      <c r="AD5" s="144">
        <f t="shared" si="6"/>
        <v>1241400.3200000001</v>
      </c>
      <c r="AE5" s="144">
        <f t="shared" si="7"/>
        <v>86745.599999999991</v>
      </c>
      <c r="AF5" s="144">
        <f t="shared" si="8"/>
        <v>120479.99999999999</v>
      </c>
      <c r="AG5" s="144">
        <f t="shared" si="9"/>
        <v>48191.999999999993</v>
      </c>
      <c r="AH5" s="144">
        <f t="shared" si="10"/>
        <v>176703.99999999997</v>
      </c>
      <c r="AI5" s="144">
        <f t="shared" si="11"/>
        <v>16063.999999999998</v>
      </c>
      <c r="AJ5" s="144">
        <f t="shared" si="12"/>
        <v>10000</v>
      </c>
      <c r="AK5" s="144">
        <f t="shared" si="13"/>
        <v>19276.8</v>
      </c>
      <c r="AL5" s="144">
        <f t="shared" si="14"/>
        <v>509155.98</v>
      </c>
      <c r="AM5" s="144"/>
      <c r="AN5" s="144"/>
      <c r="AO5" s="144">
        <v>64200</v>
      </c>
      <c r="AP5" s="144">
        <f t="shared" si="15"/>
        <v>2292218.7000000002</v>
      </c>
      <c r="AQ5" s="144">
        <v>2262574.7799999998</v>
      </c>
      <c r="AR5" s="144">
        <f t="shared" si="16"/>
        <v>21640</v>
      </c>
      <c r="AS5" s="144">
        <f t="shared" si="17"/>
        <v>2284214.7799999998</v>
      </c>
      <c r="AT5" s="675">
        <v>1376395</v>
      </c>
      <c r="AU5" s="743">
        <v>458798</v>
      </c>
      <c r="AV5" s="610">
        <f t="shared" si="18"/>
        <v>449021.7799999998</v>
      </c>
      <c r="AW5" s="610"/>
      <c r="AX5" s="145">
        <f t="shared" ref="AX5:AX10" si="20">AP5-AQ5</f>
        <v>29643.920000000391</v>
      </c>
    </row>
    <row r="6" spans="1:51" ht="15" customHeight="1">
      <c r="A6" s="141" t="s">
        <v>541</v>
      </c>
      <c r="B6" s="240" t="s">
        <v>2105</v>
      </c>
      <c r="C6" s="240" t="s">
        <v>2099</v>
      </c>
      <c r="D6" s="672">
        <v>2</v>
      </c>
      <c r="E6" s="673">
        <v>6</v>
      </c>
      <c r="F6" s="673">
        <v>3</v>
      </c>
      <c r="G6" s="673">
        <v>37</v>
      </c>
      <c r="H6" s="673">
        <v>3.33</v>
      </c>
      <c r="I6" s="144">
        <f t="shared" si="0"/>
        <v>49.33</v>
      </c>
      <c r="J6" s="674">
        <v>4</v>
      </c>
      <c r="K6" s="674">
        <v>0</v>
      </c>
      <c r="L6" s="674">
        <v>0.33</v>
      </c>
      <c r="M6" s="674">
        <v>0</v>
      </c>
      <c r="N6" s="144">
        <f t="shared" si="1"/>
        <v>4.33</v>
      </c>
      <c r="O6" s="144">
        <f t="shared" si="19"/>
        <v>10</v>
      </c>
      <c r="P6" s="144">
        <f t="shared" si="2"/>
        <v>3</v>
      </c>
      <c r="Q6" s="144">
        <f t="shared" si="2"/>
        <v>37.33</v>
      </c>
      <c r="R6" s="144">
        <f t="shared" si="2"/>
        <v>3.33</v>
      </c>
      <c r="S6" s="144">
        <f t="shared" si="3"/>
        <v>53.66</v>
      </c>
      <c r="T6" s="672">
        <v>10.58</v>
      </c>
      <c r="U6" s="672">
        <v>4.5</v>
      </c>
      <c r="V6" s="672">
        <v>36.5</v>
      </c>
      <c r="W6" s="672">
        <v>1.83</v>
      </c>
      <c r="X6" s="144">
        <f t="shared" si="4"/>
        <v>53.41</v>
      </c>
      <c r="Y6" s="672">
        <v>10.58</v>
      </c>
      <c r="Z6" s="672">
        <v>4.5</v>
      </c>
      <c r="AA6" s="672">
        <v>36.5</v>
      </c>
      <c r="AB6" s="672">
        <v>1.83</v>
      </c>
      <c r="AC6" s="144">
        <f t="shared" si="5"/>
        <v>53.41</v>
      </c>
      <c r="AD6" s="144">
        <f t="shared" si="6"/>
        <v>3416177.82</v>
      </c>
      <c r="AE6" s="144">
        <f t="shared" si="7"/>
        <v>230731.19999999998</v>
      </c>
      <c r="AF6" s="144">
        <f t="shared" si="8"/>
        <v>320460</v>
      </c>
      <c r="AG6" s="144">
        <f t="shared" si="9"/>
        <v>128183.99999999999</v>
      </c>
      <c r="AH6" s="144">
        <f t="shared" si="10"/>
        <v>470007.99999999994</v>
      </c>
      <c r="AI6" s="144">
        <f t="shared" si="11"/>
        <v>42728</v>
      </c>
      <c r="AJ6" s="144">
        <f t="shared" si="12"/>
        <v>20000</v>
      </c>
      <c r="AK6" s="144">
        <f t="shared" si="13"/>
        <v>51273.599999999999</v>
      </c>
      <c r="AL6" s="144">
        <f t="shared" si="14"/>
        <v>1392229.06</v>
      </c>
      <c r="AM6" s="144"/>
      <c r="AN6" s="144"/>
      <c r="AO6" s="144"/>
      <c r="AP6" s="144">
        <f t="shared" si="15"/>
        <v>6071791.6799999997</v>
      </c>
      <c r="AQ6" s="144">
        <v>5952179.7599999998</v>
      </c>
      <c r="AR6" s="144">
        <f t="shared" si="16"/>
        <v>74680.5</v>
      </c>
      <c r="AS6" s="144">
        <f t="shared" si="17"/>
        <v>6026860.2599999998</v>
      </c>
      <c r="AT6" s="675">
        <v>3684215</v>
      </c>
      <c r="AU6" s="743">
        <v>1228072</v>
      </c>
      <c r="AV6" s="610">
        <f t="shared" si="18"/>
        <v>1114573.2599999998</v>
      </c>
      <c r="AW6" s="610"/>
      <c r="AX6" s="145">
        <f t="shared" si="20"/>
        <v>119611.91999999993</v>
      </c>
    </row>
    <row r="7" spans="1:51" ht="15" customHeight="1">
      <c r="A7" s="141" t="s">
        <v>541</v>
      </c>
      <c r="B7" s="240" t="s">
        <v>392</v>
      </c>
      <c r="C7" s="240" t="s">
        <v>2099</v>
      </c>
      <c r="D7" s="672">
        <v>2</v>
      </c>
      <c r="E7" s="673">
        <v>0</v>
      </c>
      <c r="F7" s="673">
        <v>2.67</v>
      </c>
      <c r="G7" s="673">
        <v>21.67</v>
      </c>
      <c r="H7" s="673">
        <v>2.67</v>
      </c>
      <c r="I7" s="144">
        <f t="shared" si="0"/>
        <v>27.010000000000005</v>
      </c>
      <c r="J7" s="674">
        <v>0</v>
      </c>
      <c r="K7" s="674">
        <v>0</v>
      </c>
      <c r="L7" s="674">
        <v>0</v>
      </c>
      <c r="M7" s="674">
        <v>0</v>
      </c>
      <c r="N7" s="144">
        <f t="shared" si="1"/>
        <v>0</v>
      </c>
      <c r="O7" s="144">
        <f t="shared" si="19"/>
        <v>0</v>
      </c>
      <c r="P7" s="144">
        <f t="shared" si="2"/>
        <v>2.67</v>
      </c>
      <c r="Q7" s="144">
        <f t="shared" si="2"/>
        <v>21.67</v>
      </c>
      <c r="R7" s="144">
        <f t="shared" si="2"/>
        <v>2.67</v>
      </c>
      <c r="S7" s="144">
        <f t="shared" si="3"/>
        <v>27.010000000000005</v>
      </c>
      <c r="T7" s="672">
        <v>1.5</v>
      </c>
      <c r="U7" s="672">
        <v>2</v>
      </c>
      <c r="V7" s="672">
        <v>21.08</v>
      </c>
      <c r="W7" s="672">
        <v>1.92</v>
      </c>
      <c r="X7" s="144">
        <f t="shared" si="4"/>
        <v>26.5</v>
      </c>
      <c r="Y7" s="672">
        <v>1.5</v>
      </c>
      <c r="Z7" s="672">
        <v>2</v>
      </c>
      <c r="AA7" s="672">
        <v>21.08</v>
      </c>
      <c r="AB7" s="672">
        <v>1.92</v>
      </c>
      <c r="AC7" s="144">
        <f t="shared" si="5"/>
        <v>26.5</v>
      </c>
      <c r="AD7" s="144">
        <f t="shared" si="6"/>
        <v>1646580.2399999998</v>
      </c>
      <c r="AE7" s="144">
        <f t="shared" si="7"/>
        <v>114480</v>
      </c>
      <c r="AF7" s="144">
        <f t="shared" si="8"/>
        <v>159000</v>
      </c>
      <c r="AG7" s="144">
        <f t="shared" si="9"/>
        <v>63600</v>
      </c>
      <c r="AH7" s="144">
        <f t="shared" si="10"/>
        <v>233200</v>
      </c>
      <c r="AI7" s="144">
        <f t="shared" si="11"/>
        <v>21200</v>
      </c>
      <c r="AJ7" s="144">
        <f t="shared" si="12"/>
        <v>20000</v>
      </c>
      <c r="AK7" s="144">
        <f t="shared" si="13"/>
        <v>25440</v>
      </c>
      <c r="AL7" s="144">
        <f t="shared" si="14"/>
        <v>677260.79</v>
      </c>
      <c r="AM7" s="144"/>
      <c r="AN7" s="144"/>
      <c r="AO7" s="144">
        <v>134670</v>
      </c>
      <c r="AP7" s="144">
        <f t="shared" si="15"/>
        <v>3095431.03</v>
      </c>
      <c r="AQ7" s="144">
        <v>3074490.84</v>
      </c>
      <c r="AR7" s="144">
        <f t="shared" si="16"/>
        <v>28344</v>
      </c>
      <c r="AS7" s="144">
        <f t="shared" si="17"/>
        <v>3102834.84</v>
      </c>
      <c r="AT7" s="675">
        <v>2051686</v>
      </c>
      <c r="AU7" s="743">
        <v>683895</v>
      </c>
      <c r="AV7" s="610">
        <f t="shared" si="18"/>
        <v>367253.83999999985</v>
      </c>
      <c r="AW7" s="610"/>
      <c r="AX7" s="145">
        <f t="shared" si="20"/>
        <v>20940.189999999944</v>
      </c>
    </row>
    <row r="8" spans="1:51" ht="15" customHeight="1">
      <c r="A8" s="141" t="s">
        <v>541</v>
      </c>
      <c r="B8" s="240" t="s">
        <v>390</v>
      </c>
      <c r="C8" s="240" t="s">
        <v>2101</v>
      </c>
      <c r="D8" s="672"/>
      <c r="E8" s="673">
        <v>8</v>
      </c>
      <c r="F8" s="673">
        <v>6</v>
      </c>
      <c r="G8" s="673">
        <v>0</v>
      </c>
      <c r="H8" s="673">
        <v>10</v>
      </c>
      <c r="I8" s="144">
        <f t="shared" si="0"/>
        <v>24</v>
      </c>
      <c r="J8" s="674">
        <v>1.33</v>
      </c>
      <c r="K8" s="674">
        <v>0.75</v>
      </c>
      <c r="L8" s="674">
        <v>0</v>
      </c>
      <c r="M8" s="674">
        <v>0</v>
      </c>
      <c r="N8" s="144">
        <f t="shared" si="1"/>
        <v>2.08</v>
      </c>
      <c r="O8" s="144">
        <f t="shared" si="19"/>
        <v>9.33</v>
      </c>
      <c r="P8" s="144">
        <f t="shared" si="2"/>
        <v>6.75</v>
      </c>
      <c r="Q8" s="144">
        <f t="shared" si="2"/>
        <v>0</v>
      </c>
      <c r="R8" s="144">
        <f t="shared" si="2"/>
        <v>10</v>
      </c>
      <c r="S8" s="144">
        <f t="shared" si="3"/>
        <v>26.08</v>
      </c>
      <c r="T8" s="672">
        <v>5.25</v>
      </c>
      <c r="U8" s="672">
        <v>7.25</v>
      </c>
      <c r="V8" s="672">
        <v>0</v>
      </c>
      <c r="W8" s="672">
        <v>6.33</v>
      </c>
      <c r="X8" s="144">
        <f t="shared" si="4"/>
        <v>18.829999999999998</v>
      </c>
      <c r="Y8" s="672">
        <v>5.25</v>
      </c>
      <c r="Z8" s="672">
        <v>7.25</v>
      </c>
      <c r="AA8" s="672">
        <v>0</v>
      </c>
      <c r="AB8" s="672">
        <v>6.33</v>
      </c>
      <c r="AC8" s="144">
        <f t="shared" si="5"/>
        <v>18.829999999999998</v>
      </c>
      <c r="AD8" s="144">
        <f t="shared" si="6"/>
        <v>1160233.5</v>
      </c>
      <c r="AE8" s="144">
        <f t="shared" si="7"/>
        <v>81345.599999999991</v>
      </c>
      <c r="AF8" s="144">
        <f t="shared" si="8"/>
        <v>112979.99999999999</v>
      </c>
      <c r="AG8" s="144">
        <f t="shared" si="9"/>
        <v>45191.999999999993</v>
      </c>
      <c r="AH8" s="144">
        <f t="shared" si="10"/>
        <v>165703.99999999997</v>
      </c>
      <c r="AI8" s="144">
        <f t="shared" si="11"/>
        <v>15063.999999999998</v>
      </c>
      <c r="AJ8" s="144">
        <f t="shared" si="12"/>
        <v>0</v>
      </c>
      <c r="AK8" s="144">
        <f t="shared" si="13"/>
        <v>18076.8</v>
      </c>
      <c r="AL8" s="144">
        <f t="shared" si="14"/>
        <v>490364.95</v>
      </c>
      <c r="AM8" s="144">
        <v>49868</v>
      </c>
      <c r="AN8" s="144"/>
      <c r="AO8" s="144"/>
      <c r="AP8" s="144">
        <f t="shared" si="15"/>
        <v>2138828.85</v>
      </c>
      <c r="AQ8" s="144">
        <v>2089475.98</v>
      </c>
      <c r="AR8" s="144">
        <f t="shared" si="16"/>
        <v>33190.5</v>
      </c>
      <c r="AS8" s="144">
        <f t="shared" si="17"/>
        <v>2122666.48</v>
      </c>
      <c r="AT8" s="675">
        <v>1124143</v>
      </c>
      <c r="AU8" s="743">
        <v>374714</v>
      </c>
      <c r="AV8" s="610">
        <f t="shared" si="18"/>
        <v>623809.48</v>
      </c>
      <c r="AW8" s="610"/>
      <c r="AX8" s="145">
        <f t="shared" si="20"/>
        <v>49352.870000000112</v>
      </c>
    </row>
    <row r="9" spans="1:51" ht="15" customHeight="1">
      <c r="A9" s="141" t="s">
        <v>541</v>
      </c>
      <c r="B9" s="240" t="s">
        <v>391</v>
      </c>
      <c r="C9" s="240" t="s">
        <v>2101</v>
      </c>
      <c r="D9" s="672"/>
      <c r="E9" s="673">
        <v>5</v>
      </c>
      <c r="F9" s="673">
        <v>6</v>
      </c>
      <c r="G9" s="673">
        <v>0</v>
      </c>
      <c r="H9" s="673">
        <v>10</v>
      </c>
      <c r="I9" s="144">
        <f t="shared" si="0"/>
        <v>21</v>
      </c>
      <c r="J9" s="674">
        <v>1.67</v>
      </c>
      <c r="K9" s="674">
        <v>0</v>
      </c>
      <c r="L9" s="674">
        <v>0</v>
      </c>
      <c r="M9" s="674">
        <v>1.42</v>
      </c>
      <c r="N9" s="144">
        <f t="shared" si="1"/>
        <v>3.09</v>
      </c>
      <c r="O9" s="144">
        <f t="shared" si="19"/>
        <v>6.67</v>
      </c>
      <c r="P9" s="144">
        <f t="shared" si="2"/>
        <v>6</v>
      </c>
      <c r="Q9" s="144">
        <f t="shared" si="2"/>
        <v>0</v>
      </c>
      <c r="R9" s="144">
        <f t="shared" si="2"/>
        <v>11.42</v>
      </c>
      <c r="S9" s="144">
        <f t="shared" si="3"/>
        <v>24.09</v>
      </c>
      <c r="T9" s="672">
        <v>6.42</v>
      </c>
      <c r="U9" s="672">
        <v>5.33</v>
      </c>
      <c r="V9" s="672">
        <v>0</v>
      </c>
      <c r="W9" s="672">
        <v>7</v>
      </c>
      <c r="X9" s="144">
        <f t="shared" si="4"/>
        <v>18.75</v>
      </c>
      <c r="Y9" s="672">
        <v>6.42</v>
      </c>
      <c r="Z9" s="672">
        <v>5.33</v>
      </c>
      <c r="AA9" s="672">
        <v>0</v>
      </c>
      <c r="AB9" s="672">
        <v>7</v>
      </c>
      <c r="AC9" s="144">
        <f t="shared" si="5"/>
        <v>18.75</v>
      </c>
      <c r="AD9" s="144">
        <f t="shared" si="6"/>
        <v>1158089.68</v>
      </c>
      <c r="AE9" s="144">
        <f t="shared" si="7"/>
        <v>81000</v>
      </c>
      <c r="AF9" s="144">
        <f t="shared" si="8"/>
        <v>112500</v>
      </c>
      <c r="AG9" s="144">
        <f t="shared" si="9"/>
        <v>45000</v>
      </c>
      <c r="AH9" s="144">
        <f t="shared" si="10"/>
        <v>165000</v>
      </c>
      <c r="AI9" s="144">
        <f t="shared" si="11"/>
        <v>15000</v>
      </c>
      <c r="AJ9" s="144">
        <f t="shared" si="12"/>
        <v>0</v>
      </c>
      <c r="AK9" s="144">
        <f t="shared" si="13"/>
        <v>18000</v>
      </c>
      <c r="AL9" s="144">
        <f t="shared" si="14"/>
        <v>502265.85</v>
      </c>
      <c r="AM9" s="144">
        <v>86535.5</v>
      </c>
      <c r="AN9" s="144"/>
      <c r="AO9" s="144"/>
      <c r="AP9" s="144">
        <f t="shared" si="15"/>
        <v>2183391.0299999998</v>
      </c>
      <c r="AQ9" s="144">
        <v>2077850.68</v>
      </c>
      <c r="AR9" s="144">
        <f t="shared" si="16"/>
        <v>32903</v>
      </c>
      <c r="AS9" s="144">
        <f t="shared" si="17"/>
        <v>2110753.6799999997</v>
      </c>
      <c r="AT9" s="675">
        <v>1120427</v>
      </c>
      <c r="AU9" s="743">
        <v>373476</v>
      </c>
      <c r="AV9" s="610">
        <f t="shared" si="18"/>
        <v>616850.6799999997</v>
      </c>
      <c r="AW9" s="610"/>
      <c r="AX9" s="145">
        <f t="shared" si="20"/>
        <v>105540.34999999986</v>
      </c>
    </row>
    <row r="10" spans="1:51" ht="15" customHeight="1">
      <c r="A10" s="141" t="s">
        <v>541</v>
      </c>
      <c r="B10" s="240" t="s">
        <v>884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9</v>
      </c>
      <c r="I10" s="144">
        <f t="shared" si="0"/>
        <v>13</v>
      </c>
      <c r="J10" s="674">
        <v>0</v>
      </c>
      <c r="K10" s="674">
        <v>0</v>
      </c>
      <c r="L10" s="674">
        <v>0</v>
      </c>
      <c r="M10" s="674">
        <v>0</v>
      </c>
      <c r="N10" s="144">
        <f t="shared" si="1"/>
        <v>0</v>
      </c>
      <c r="O10" s="144">
        <f t="shared" si="19"/>
        <v>0</v>
      </c>
      <c r="P10" s="144">
        <f t="shared" si="2"/>
        <v>4</v>
      </c>
      <c r="Q10" s="144">
        <f t="shared" si="2"/>
        <v>0</v>
      </c>
      <c r="R10" s="144">
        <f t="shared" si="2"/>
        <v>9</v>
      </c>
      <c r="S10" s="144">
        <f t="shared" si="3"/>
        <v>13</v>
      </c>
      <c r="T10" s="672">
        <v>0</v>
      </c>
      <c r="U10" s="672">
        <v>3.17</v>
      </c>
      <c r="V10" s="672">
        <v>0</v>
      </c>
      <c r="W10" s="672">
        <v>8</v>
      </c>
      <c r="X10" s="144">
        <f t="shared" si="4"/>
        <v>11.17</v>
      </c>
      <c r="Y10" s="672">
        <v>0</v>
      </c>
      <c r="Z10" s="672">
        <v>3.17</v>
      </c>
      <c r="AA10" s="672">
        <v>0</v>
      </c>
      <c r="AB10" s="672">
        <v>8</v>
      </c>
      <c r="AC10" s="144">
        <f t="shared" si="5"/>
        <v>11.17</v>
      </c>
      <c r="AD10" s="144">
        <f t="shared" si="6"/>
        <v>609710</v>
      </c>
      <c r="AE10" s="144">
        <f t="shared" si="7"/>
        <v>48254.400000000001</v>
      </c>
      <c r="AF10" s="144">
        <f t="shared" si="8"/>
        <v>67020</v>
      </c>
      <c r="AG10" s="144">
        <f t="shared" si="9"/>
        <v>26808</v>
      </c>
      <c r="AH10" s="144">
        <f t="shared" si="10"/>
        <v>98296</v>
      </c>
      <c r="AI10" s="144">
        <f t="shared" si="11"/>
        <v>8936</v>
      </c>
      <c r="AJ10" s="144">
        <f t="shared" si="12"/>
        <v>0</v>
      </c>
      <c r="AK10" s="144">
        <f t="shared" si="13"/>
        <v>10723.2</v>
      </c>
      <c r="AL10" s="144">
        <f t="shared" si="14"/>
        <v>258518.85</v>
      </c>
      <c r="AM10" s="144">
        <v>16320</v>
      </c>
      <c r="AN10" s="144"/>
      <c r="AO10" s="144">
        <v>27600</v>
      </c>
      <c r="AP10" s="144">
        <f t="shared" si="15"/>
        <v>1172186.45</v>
      </c>
      <c r="AQ10" s="144">
        <v>1229984.56</v>
      </c>
      <c r="AR10" s="144">
        <f t="shared" si="16"/>
        <v>9457</v>
      </c>
      <c r="AS10" s="144">
        <f t="shared" si="17"/>
        <v>1239441.56</v>
      </c>
      <c r="AT10" s="675">
        <v>797268</v>
      </c>
      <c r="AU10" s="743">
        <v>265756</v>
      </c>
      <c r="AV10" s="610">
        <f t="shared" si="18"/>
        <v>176417.56000000006</v>
      </c>
      <c r="AW10" s="610"/>
      <c r="AX10" s="145">
        <f t="shared" si="20"/>
        <v>-57798.110000000102</v>
      </c>
      <c r="AY10" s="137" t="s">
        <v>2391</v>
      </c>
    </row>
    <row r="11" spans="1:51" s="742" customFormat="1" ht="15" customHeight="1">
      <c r="A11" s="741"/>
      <c r="B11" s="741" t="s">
        <v>2106</v>
      </c>
      <c r="C11" s="741"/>
      <c r="D11" s="146">
        <f>SUM(D4:D10)</f>
        <v>7</v>
      </c>
      <c r="E11" s="146">
        <f t="shared" ref="E11:AW11" si="21">SUM(E4:E10)</f>
        <v>20.67</v>
      </c>
      <c r="F11" s="146">
        <f t="shared" si="21"/>
        <v>27.34</v>
      </c>
      <c r="G11" s="146">
        <f t="shared" si="21"/>
        <v>97.33</v>
      </c>
      <c r="H11" s="146">
        <f t="shared" si="21"/>
        <v>40.340000000000003</v>
      </c>
      <c r="I11" s="146">
        <f t="shared" si="21"/>
        <v>185.68</v>
      </c>
      <c r="J11" s="146">
        <f t="shared" si="21"/>
        <v>8.08</v>
      </c>
      <c r="K11" s="146">
        <f t="shared" si="21"/>
        <v>2.75</v>
      </c>
      <c r="L11" s="146">
        <f t="shared" si="21"/>
        <v>0.33</v>
      </c>
      <c r="M11" s="146">
        <f t="shared" si="21"/>
        <v>1.42</v>
      </c>
      <c r="N11" s="146">
        <f t="shared" si="21"/>
        <v>12.58</v>
      </c>
      <c r="O11" s="146">
        <f t="shared" si="21"/>
        <v>28.75</v>
      </c>
      <c r="P11" s="146">
        <f t="shared" si="21"/>
        <v>30.09</v>
      </c>
      <c r="Q11" s="146">
        <f t="shared" si="21"/>
        <v>97.66</v>
      </c>
      <c r="R11" s="146">
        <f t="shared" si="21"/>
        <v>41.76</v>
      </c>
      <c r="S11" s="146">
        <f t="shared" si="21"/>
        <v>198.25999999999996</v>
      </c>
      <c r="T11" s="146">
        <f t="shared" si="21"/>
        <v>27.83</v>
      </c>
      <c r="U11" s="146">
        <f t="shared" si="21"/>
        <v>29.25</v>
      </c>
      <c r="V11" s="146">
        <f t="shared" si="21"/>
        <v>97.58</v>
      </c>
      <c r="W11" s="146">
        <f t="shared" si="21"/>
        <v>28.08</v>
      </c>
      <c r="X11" s="146">
        <f t="shared" si="21"/>
        <v>182.73999999999998</v>
      </c>
      <c r="Y11" s="146">
        <f t="shared" si="21"/>
        <v>27.83</v>
      </c>
      <c r="Z11" s="146">
        <f t="shared" si="21"/>
        <v>29.25</v>
      </c>
      <c r="AA11" s="146">
        <f t="shared" si="21"/>
        <v>97.58</v>
      </c>
      <c r="AB11" s="146">
        <f t="shared" si="21"/>
        <v>28.08</v>
      </c>
      <c r="AC11" s="146">
        <f t="shared" si="21"/>
        <v>182.73999999999998</v>
      </c>
      <c r="AD11" s="146">
        <f t="shared" si="21"/>
        <v>11373253.560000001</v>
      </c>
      <c r="AE11" s="146">
        <f t="shared" si="21"/>
        <v>789436.79999999993</v>
      </c>
      <c r="AF11" s="146">
        <f t="shared" si="21"/>
        <v>1096440</v>
      </c>
      <c r="AG11" s="146">
        <f t="shared" si="21"/>
        <v>438576</v>
      </c>
      <c r="AH11" s="146">
        <f t="shared" si="21"/>
        <v>1608112</v>
      </c>
      <c r="AI11" s="146">
        <f t="shared" si="21"/>
        <v>146192</v>
      </c>
      <c r="AJ11" s="146">
        <f t="shared" si="21"/>
        <v>70000</v>
      </c>
      <c r="AK11" s="146">
        <f t="shared" si="21"/>
        <v>175430.39999999999</v>
      </c>
      <c r="AL11" s="146">
        <f t="shared" si="21"/>
        <v>4706775.08</v>
      </c>
      <c r="AM11" s="146">
        <f t="shared" si="21"/>
        <v>152723.5</v>
      </c>
      <c r="AN11" s="146">
        <f t="shared" si="21"/>
        <v>0</v>
      </c>
      <c r="AO11" s="146">
        <f t="shared" si="21"/>
        <v>248470</v>
      </c>
      <c r="AP11" s="146">
        <f t="shared" si="21"/>
        <v>20805409.34</v>
      </c>
      <c r="AQ11" s="146">
        <f t="shared" si="21"/>
        <v>20480632.239999998</v>
      </c>
      <c r="AR11" s="146">
        <f t="shared" si="21"/>
        <v>242565</v>
      </c>
      <c r="AS11" s="146">
        <f t="shared" si="21"/>
        <v>20723197.239999998</v>
      </c>
      <c r="AT11" s="146">
        <f t="shared" si="21"/>
        <v>12533096</v>
      </c>
      <c r="AU11" s="146">
        <f t="shared" si="21"/>
        <v>4177698</v>
      </c>
      <c r="AV11" s="146">
        <f t="shared" si="21"/>
        <v>4012403.2399999993</v>
      </c>
      <c r="AW11" s="146">
        <f t="shared" si="21"/>
        <v>0</v>
      </c>
    </row>
  </sheetData>
  <autoFilter ref="B2:AV11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  <mergeCell ref="AT2:AT3"/>
    <mergeCell ref="AS2:AS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8" sqref="A8:XFD18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77" t="s">
        <v>2355</v>
      </c>
      <c r="B1" s="978"/>
      <c r="C1" s="978"/>
      <c r="D1" s="978"/>
      <c r="E1" s="1079"/>
      <c r="F1" s="1079"/>
    </row>
    <row r="2" spans="1:6" ht="15" customHeight="1">
      <c r="A2" s="722" t="s">
        <v>2375</v>
      </c>
      <c r="B2" s="722" t="s">
        <v>2376</v>
      </c>
      <c r="C2" s="152" t="s">
        <v>2377</v>
      </c>
      <c r="D2" s="152" t="s">
        <v>2378</v>
      </c>
      <c r="E2" s="152" t="s">
        <v>2379</v>
      </c>
      <c r="F2" s="194" t="s">
        <v>2392</v>
      </c>
    </row>
    <row r="3" spans="1:6" ht="15" customHeight="1" outlineLevel="2">
      <c r="A3" s="722" t="s">
        <v>2380</v>
      </c>
      <c r="B3" s="722" t="s">
        <v>2359</v>
      </c>
      <c r="C3" s="152">
        <v>833910</v>
      </c>
      <c r="D3" s="152">
        <v>445994</v>
      </c>
      <c r="E3" s="152">
        <f t="shared" ref="E3:E6" si="0">C3-D3</f>
        <v>387916</v>
      </c>
      <c r="F3" s="746"/>
    </row>
    <row r="4" spans="1:6" ht="15" customHeight="1" outlineLevel="2">
      <c r="A4" s="722" t="s">
        <v>2380</v>
      </c>
      <c r="B4" s="722" t="s">
        <v>2360</v>
      </c>
      <c r="C4" s="152">
        <v>1031684</v>
      </c>
      <c r="D4" s="152">
        <v>415586</v>
      </c>
      <c r="E4" s="152">
        <f t="shared" si="0"/>
        <v>616098</v>
      </c>
      <c r="F4" s="746"/>
    </row>
    <row r="5" spans="1:6" ht="15" customHeight="1" outlineLevel="2">
      <c r="A5" s="722" t="s">
        <v>2380</v>
      </c>
      <c r="B5" s="722" t="s">
        <v>2361</v>
      </c>
      <c r="C5" s="152">
        <v>232696</v>
      </c>
      <c r="D5" s="152">
        <v>232696</v>
      </c>
      <c r="E5" s="152">
        <f t="shared" si="0"/>
        <v>0</v>
      </c>
      <c r="F5" s="746"/>
    </row>
    <row r="6" spans="1:6" ht="15" customHeight="1" outlineLevel="2">
      <c r="A6" s="722" t="s">
        <v>2380</v>
      </c>
      <c r="B6" s="722" t="s">
        <v>2362</v>
      </c>
      <c r="C6" s="152">
        <v>119624</v>
      </c>
      <c r="D6" s="152">
        <v>119624</v>
      </c>
      <c r="E6" s="152">
        <f t="shared" si="0"/>
        <v>0</v>
      </c>
      <c r="F6" s="746"/>
    </row>
    <row r="7" spans="1:6" ht="15" customHeight="1" outlineLevel="1">
      <c r="A7" s="749" t="s">
        <v>566</v>
      </c>
      <c r="B7" s="747"/>
      <c r="C7" s="748">
        <f>SUBTOTAL(9,C3:C6)</f>
        <v>2217914</v>
      </c>
      <c r="D7" s="748">
        <f t="shared" ref="D7:F7" si="1">SUBTOTAL(9,D3:D6)</f>
        <v>1213900</v>
      </c>
      <c r="E7" s="748">
        <f t="shared" si="1"/>
        <v>1004014</v>
      </c>
      <c r="F7" s="748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15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080" t="s">
        <v>2298</v>
      </c>
      <c r="B1" s="1081"/>
      <c r="C1" s="1081"/>
      <c r="D1" s="1081"/>
      <c r="E1" s="1081"/>
      <c r="F1" s="1081"/>
      <c r="G1" s="1081"/>
      <c r="H1" s="804"/>
      <c r="I1" s="804"/>
    </row>
    <row r="2" spans="1:9" ht="34.15" customHeight="1">
      <c r="A2" s="733" t="s">
        <v>1</v>
      </c>
      <c r="B2" s="733" t="s">
        <v>2284</v>
      </c>
      <c r="C2" s="733" t="s">
        <v>2286</v>
      </c>
      <c r="D2" s="733" t="s">
        <v>2287</v>
      </c>
      <c r="E2" s="733" t="s">
        <v>2288</v>
      </c>
      <c r="F2" s="733" t="s">
        <v>2289</v>
      </c>
      <c r="G2" s="734" t="s">
        <v>2290</v>
      </c>
      <c r="H2" s="745" t="s">
        <v>2429</v>
      </c>
      <c r="I2" s="745" t="s">
        <v>2430</v>
      </c>
    </row>
    <row r="3" spans="1:9" outlineLevel="2">
      <c r="A3" s="733">
        <v>100</v>
      </c>
      <c r="B3" s="733" t="s">
        <v>2292</v>
      </c>
      <c r="C3" s="733" t="s">
        <v>395</v>
      </c>
      <c r="D3" s="733" t="s">
        <v>2293</v>
      </c>
      <c r="E3" s="733" t="s">
        <v>2291</v>
      </c>
      <c r="F3" s="733" t="s">
        <v>382</v>
      </c>
      <c r="G3" s="733">
        <f>VLOOKUP(F3,[3]Sheet2!A:B,2,FALSE)</f>
        <v>92157</v>
      </c>
      <c r="H3" s="746">
        <v>92157</v>
      </c>
      <c r="I3" s="746"/>
    </row>
    <row r="4" spans="1:9" outlineLevel="2">
      <c r="A4" s="733">
        <v>101</v>
      </c>
      <c r="B4" s="733" t="s">
        <v>2294</v>
      </c>
      <c r="C4" s="733" t="s">
        <v>395</v>
      </c>
      <c r="D4" s="733" t="s">
        <v>2293</v>
      </c>
      <c r="E4" s="733" t="s">
        <v>2291</v>
      </c>
      <c r="F4" s="733" t="s">
        <v>382</v>
      </c>
      <c r="G4" s="733">
        <f>VLOOKUP(F4,[3]Sheet2!A:B,2,FALSE)</f>
        <v>92157</v>
      </c>
      <c r="H4" s="746">
        <v>92157</v>
      </c>
      <c r="I4" s="746"/>
    </row>
    <row r="5" spans="1:9" outlineLevel="2">
      <c r="A5" s="733">
        <v>102</v>
      </c>
      <c r="B5" s="733" t="s">
        <v>2295</v>
      </c>
      <c r="C5" s="733" t="s">
        <v>391</v>
      </c>
      <c r="D5" s="733" t="s">
        <v>2293</v>
      </c>
      <c r="E5" s="733" t="s">
        <v>2291</v>
      </c>
      <c r="F5" s="733" t="s">
        <v>379</v>
      </c>
      <c r="G5" s="733">
        <f>VLOOKUP(F5,[3]Sheet2!A:B,2,FALSE)</f>
        <v>101253</v>
      </c>
      <c r="H5" s="746">
        <v>101253</v>
      </c>
      <c r="I5" s="746"/>
    </row>
    <row r="6" spans="1:9" outlineLevel="2">
      <c r="A6" s="733">
        <v>103</v>
      </c>
      <c r="B6" s="733" t="s">
        <v>2296</v>
      </c>
      <c r="C6" s="733" t="s">
        <v>391</v>
      </c>
      <c r="D6" s="733" t="s">
        <v>2293</v>
      </c>
      <c r="E6" s="733" t="s">
        <v>2291</v>
      </c>
      <c r="F6" s="733" t="s">
        <v>379</v>
      </c>
      <c r="G6" s="733">
        <f>VLOOKUP(F6,[3]Sheet2!A:B,2,FALSE)</f>
        <v>101253</v>
      </c>
      <c r="H6" s="746">
        <v>101253</v>
      </c>
      <c r="I6" s="746"/>
    </row>
    <row r="7" spans="1:9" outlineLevel="2">
      <c r="A7" s="733">
        <v>104</v>
      </c>
      <c r="B7" s="733" t="s">
        <v>2297</v>
      </c>
      <c r="C7" s="733" t="s">
        <v>390</v>
      </c>
      <c r="D7" s="733" t="s">
        <v>2293</v>
      </c>
      <c r="E7" s="733" t="s">
        <v>2291</v>
      </c>
      <c r="F7" s="733" t="s">
        <v>379</v>
      </c>
      <c r="G7" s="733">
        <f>VLOOKUP(F7,[3]Sheet2!A:B,2,FALSE)</f>
        <v>101253</v>
      </c>
      <c r="H7" s="746">
        <v>101253</v>
      </c>
      <c r="I7" s="746"/>
    </row>
    <row r="8" spans="1:9" outlineLevel="1">
      <c r="A8" s="733"/>
      <c r="B8" s="733"/>
      <c r="C8" s="733"/>
      <c r="D8" s="735" t="s">
        <v>1190</v>
      </c>
      <c r="E8" s="733"/>
      <c r="F8" s="733"/>
      <c r="G8" s="733">
        <f>SUBTOTAL(9,G3:G7)</f>
        <v>488073</v>
      </c>
      <c r="H8" s="745">
        <f t="shared" ref="H8:I8" si="0">SUBTOTAL(9,H3:H7)</f>
        <v>488073</v>
      </c>
      <c r="I8" s="745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A12" sqref="A12:XFD40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784" customFormat="1" ht="20.25">
      <c r="A1" s="1082" t="s">
        <v>2356</v>
      </c>
      <c r="B1" s="1083"/>
      <c r="C1" s="1083"/>
      <c r="D1" s="1083"/>
      <c r="E1" s="1083"/>
    </row>
    <row r="2" spans="1:5" s="155" customFormat="1">
      <c r="A2" s="722" t="s">
        <v>2357</v>
      </c>
      <c r="B2" s="722" t="s">
        <v>2358</v>
      </c>
      <c r="C2" s="722" t="s">
        <v>2364</v>
      </c>
      <c r="D2" s="722" t="s">
        <v>2365</v>
      </c>
      <c r="E2" s="722" t="s">
        <v>2366</v>
      </c>
    </row>
    <row r="3" spans="1:5" outlineLevel="2">
      <c r="A3" s="722" t="s">
        <v>2363</v>
      </c>
      <c r="B3" s="722" t="s">
        <v>2367</v>
      </c>
      <c r="C3" s="722">
        <v>423879.8</v>
      </c>
      <c r="D3" s="722">
        <v>495753.43</v>
      </c>
      <c r="E3" s="722">
        <f t="shared" ref="E3:E10" si="0">C3-D3</f>
        <v>-71873.63</v>
      </c>
    </row>
    <row r="4" spans="1:5" outlineLevel="2">
      <c r="A4" s="722" t="s">
        <v>2363</v>
      </c>
      <c r="B4" s="722" t="s">
        <v>2368</v>
      </c>
      <c r="C4" s="722">
        <v>427473.2</v>
      </c>
      <c r="D4" s="722">
        <v>501901.71</v>
      </c>
      <c r="E4" s="722">
        <f t="shared" si="0"/>
        <v>-74428.510000000009</v>
      </c>
    </row>
    <row r="5" spans="1:5" outlineLevel="2">
      <c r="A5" s="722" t="s">
        <v>2363</v>
      </c>
      <c r="B5" s="722" t="s">
        <v>2369</v>
      </c>
      <c r="C5" s="722">
        <v>0</v>
      </c>
      <c r="D5" s="722">
        <v>403233.43</v>
      </c>
      <c r="E5" s="722">
        <f t="shared" si="0"/>
        <v>-403233.43</v>
      </c>
    </row>
    <row r="6" spans="1:5" outlineLevel="2">
      <c r="A6" s="722" t="s">
        <v>2363</v>
      </c>
      <c r="B6" s="722" t="s">
        <v>2370</v>
      </c>
      <c r="C6" s="722">
        <v>0</v>
      </c>
      <c r="D6" s="722">
        <v>89066.57</v>
      </c>
      <c r="E6" s="722">
        <f t="shared" si="0"/>
        <v>-89066.57</v>
      </c>
    </row>
    <row r="7" spans="1:5" outlineLevel="2">
      <c r="A7" s="722" t="s">
        <v>2363</v>
      </c>
      <c r="B7" s="722" t="s">
        <v>2371</v>
      </c>
      <c r="C7" s="722">
        <v>19496.599999999999</v>
      </c>
      <c r="D7" s="722">
        <v>179709.43</v>
      </c>
      <c r="E7" s="722">
        <f t="shared" si="0"/>
        <v>-160212.82999999999</v>
      </c>
    </row>
    <row r="8" spans="1:5" outlineLevel="2">
      <c r="A8" s="722" t="s">
        <v>2363</v>
      </c>
      <c r="B8" s="722" t="s">
        <v>2372</v>
      </c>
      <c r="C8" s="722">
        <v>0</v>
      </c>
      <c r="D8" s="722">
        <v>105541.71</v>
      </c>
      <c r="E8" s="722">
        <f t="shared" si="0"/>
        <v>-105541.71</v>
      </c>
    </row>
    <row r="9" spans="1:5" outlineLevel="2">
      <c r="A9" s="722" t="s">
        <v>2363</v>
      </c>
      <c r="B9" s="722" t="s">
        <v>2373</v>
      </c>
      <c r="C9" s="722">
        <v>98303.4</v>
      </c>
      <c r="D9" s="722">
        <v>115094.57</v>
      </c>
      <c r="E9" s="722">
        <f t="shared" si="0"/>
        <v>-16791.170000000013</v>
      </c>
    </row>
    <row r="10" spans="1:5" outlineLevel="2">
      <c r="A10" s="722" t="s">
        <v>2363</v>
      </c>
      <c r="B10" s="722" t="s">
        <v>2374</v>
      </c>
      <c r="C10" s="722">
        <v>20542.5</v>
      </c>
      <c r="D10" s="722">
        <v>23574.86</v>
      </c>
      <c r="E10" s="722">
        <f t="shared" si="0"/>
        <v>-3032.3600000000006</v>
      </c>
    </row>
    <row r="11" spans="1:5" s="155" customFormat="1" outlineLevel="1">
      <c r="A11" s="739" t="s">
        <v>566</v>
      </c>
      <c r="B11" s="722"/>
      <c r="C11" s="722">
        <f>SUBTOTAL(9,C3:C10)</f>
        <v>989695.5</v>
      </c>
      <c r="D11" s="722">
        <f>SUBTOTAL(9,D3:D10)</f>
        <v>1913875.7100000002</v>
      </c>
      <c r="E11" s="722">
        <f>SUBTOTAL(9,E3:E10)</f>
        <v>-924180.21000000008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A14" sqref="A14:XFD152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37" t="s">
        <v>2268</v>
      </c>
      <c r="B1" s="837"/>
      <c r="C1" s="837"/>
      <c r="D1" s="837"/>
      <c r="E1" s="837"/>
      <c r="F1" s="837"/>
      <c r="G1" s="837"/>
      <c r="H1" s="837"/>
      <c r="I1" s="837"/>
      <c r="J1" s="837"/>
    </row>
    <row r="2" spans="1:10">
      <c r="A2" s="1085" t="s">
        <v>1</v>
      </c>
      <c r="B2" s="1086" t="s">
        <v>366</v>
      </c>
      <c r="C2" s="1086" t="s">
        <v>2</v>
      </c>
      <c r="D2" s="1086" t="s">
        <v>691</v>
      </c>
      <c r="E2" s="1086" t="s">
        <v>692</v>
      </c>
      <c r="F2" s="1086" t="s">
        <v>2267</v>
      </c>
      <c r="G2" s="1086" t="s">
        <v>695</v>
      </c>
      <c r="H2" s="1086" t="s">
        <v>694</v>
      </c>
      <c r="I2" s="1086" t="s">
        <v>696</v>
      </c>
      <c r="J2" s="1084" t="s">
        <v>25</v>
      </c>
    </row>
    <row r="3" spans="1:10">
      <c r="A3" s="1085"/>
      <c r="B3" s="1086"/>
      <c r="C3" s="1086"/>
      <c r="D3" s="1086"/>
      <c r="E3" s="1086"/>
      <c r="F3" s="1086"/>
      <c r="G3" s="1086"/>
      <c r="H3" s="1086"/>
      <c r="I3" s="1086"/>
      <c r="J3" s="1084"/>
    </row>
    <row r="4" spans="1:10" s="155" customFormat="1" ht="18" customHeight="1">
      <c r="A4" s="722">
        <v>1</v>
      </c>
      <c r="B4" s="727" t="s">
        <v>2269</v>
      </c>
      <c r="C4" s="726" t="s">
        <v>2272</v>
      </c>
      <c r="D4" s="728" t="s">
        <v>2273</v>
      </c>
      <c r="E4" s="728" t="s">
        <v>2274</v>
      </c>
      <c r="F4" s="725"/>
      <c r="G4" s="722">
        <v>300000</v>
      </c>
      <c r="H4" s="722">
        <v>1</v>
      </c>
      <c r="I4" s="723">
        <f>G4*H4</f>
        <v>300000</v>
      </c>
      <c r="J4" s="722" t="s">
        <v>2278</v>
      </c>
    </row>
    <row r="5" spans="1:10" s="155" customFormat="1" ht="18" customHeight="1">
      <c r="A5" s="722">
        <v>1</v>
      </c>
      <c r="B5" s="727" t="s">
        <v>2269</v>
      </c>
      <c r="C5" s="726" t="s">
        <v>2272</v>
      </c>
      <c r="D5" s="728" t="s">
        <v>2275</v>
      </c>
      <c r="E5" s="728" t="s">
        <v>2275</v>
      </c>
      <c r="F5" s="725"/>
      <c r="G5" s="722">
        <v>300000</v>
      </c>
      <c r="H5" s="722">
        <v>1</v>
      </c>
      <c r="I5" s="723">
        <f t="shared" ref="I5:I12" si="0">G5*H5</f>
        <v>300000</v>
      </c>
      <c r="J5" s="722" t="s">
        <v>2278</v>
      </c>
    </row>
    <row r="6" spans="1:10" s="155" customFormat="1" ht="18" customHeight="1">
      <c r="A6" s="722">
        <v>1</v>
      </c>
      <c r="B6" s="727" t="s">
        <v>2269</v>
      </c>
      <c r="C6" s="726" t="s">
        <v>2272</v>
      </c>
      <c r="D6" s="728" t="s">
        <v>2276</v>
      </c>
      <c r="E6" s="728" t="s">
        <v>2276</v>
      </c>
      <c r="F6" s="725"/>
      <c r="G6" s="722">
        <v>200000</v>
      </c>
      <c r="H6" s="722">
        <v>1</v>
      </c>
      <c r="I6" s="723">
        <f t="shared" si="0"/>
        <v>200000</v>
      </c>
      <c r="J6" s="722" t="s">
        <v>2278</v>
      </c>
    </row>
    <row r="7" spans="1:10" s="155" customFormat="1" ht="18" customHeight="1">
      <c r="A7" s="722">
        <v>2</v>
      </c>
      <c r="B7" s="727" t="s">
        <v>2270</v>
      </c>
      <c r="C7" s="726" t="s">
        <v>2272</v>
      </c>
      <c r="D7" s="728" t="s">
        <v>2273</v>
      </c>
      <c r="E7" s="728" t="s">
        <v>2274</v>
      </c>
      <c r="F7" s="725"/>
      <c r="G7" s="722">
        <v>300000</v>
      </c>
      <c r="H7" s="722">
        <v>1</v>
      </c>
      <c r="I7" s="723">
        <f t="shared" si="0"/>
        <v>300000</v>
      </c>
      <c r="J7" s="722" t="s">
        <v>2278</v>
      </c>
    </row>
    <row r="8" spans="1:10" s="155" customFormat="1" ht="18" customHeight="1">
      <c r="A8" s="722">
        <v>2</v>
      </c>
      <c r="B8" s="727" t="s">
        <v>2270</v>
      </c>
      <c r="C8" s="726" t="s">
        <v>2272</v>
      </c>
      <c r="D8" s="728" t="s">
        <v>2275</v>
      </c>
      <c r="E8" s="728" t="s">
        <v>2275</v>
      </c>
      <c r="F8" s="725"/>
      <c r="G8" s="722">
        <v>300000</v>
      </c>
      <c r="H8" s="722">
        <v>1</v>
      </c>
      <c r="I8" s="723">
        <f t="shared" si="0"/>
        <v>300000</v>
      </c>
      <c r="J8" s="722" t="s">
        <v>2278</v>
      </c>
    </row>
    <row r="9" spans="1:10" s="155" customFormat="1" ht="18" customHeight="1">
      <c r="A9" s="722">
        <v>2</v>
      </c>
      <c r="B9" s="727" t="s">
        <v>2270</v>
      </c>
      <c r="C9" s="726" t="s">
        <v>2272</v>
      </c>
      <c r="D9" s="728" t="s">
        <v>2276</v>
      </c>
      <c r="E9" s="728" t="s">
        <v>2276</v>
      </c>
      <c r="F9" s="725"/>
      <c r="G9" s="722">
        <v>200000</v>
      </c>
      <c r="H9" s="722">
        <v>1</v>
      </c>
      <c r="I9" s="723">
        <f t="shared" si="0"/>
        <v>200000</v>
      </c>
      <c r="J9" s="722" t="s">
        <v>2278</v>
      </c>
    </row>
    <row r="10" spans="1:10" s="155" customFormat="1" ht="18" customHeight="1">
      <c r="A10" s="722">
        <v>3</v>
      </c>
      <c r="B10" s="727" t="s">
        <v>2271</v>
      </c>
      <c r="C10" s="726" t="s">
        <v>2272</v>
      </c>
      <c r="D10" s="728" t="s">
        <v>2273</v>
      </c>
      <c r="E10" s="728" t="s">
        <v>2274</v>
      </c>
      <c r="F10" s="725"/>
      <c r="G10" s="722">
        <v>300000</v>
      </c>
      <c r="H10" s="722">
        <v>1</v>
      </c>
      <c r="I10" s="723">
        <f t="shared" si="0"/>
        <v>300000</v>
      </c>
      <c r="J10" s="722" t="s">
        <v>2279</v>
      </c>
    </row>
    <row r="11" spans="1:10" s="155" customFormat="1" ht="18" customHeight="1">
      <c r="A11" s="722">
        <v>3</v>
      </c>
      <c r="B11" s="727" t="s">
        <v>2271</v>
      </c>
      <c r="C11" s="726" t="s">
        <v>2272</v>
      </c>
      <c r="D11" s="728" t="s">
        <v>2275</v>
      </c>
      <c r="E11" s="728" t="s">
        <v>2275</v>
      </c>
      <c r="F11" s="725"/>
      <c r="G11" s="722">
        <v>300000</v>
      </c>
      <c r="H11" s="722">
        <v>1</v>
      </c>
      <c r="I11" s="723">
        <f t="shared" si="0"/>
        <v>300000</v>
      </c>
      <c r="J11" s="722"/>
    </row>
    <row r="12" spans="1:10" s="155" customFormat="1" ht="18" customHeight="1">
      <c r="A12" s="722">
        <v>3</v>
      </c>
      <c r="B12" s="727" t="s">
        <v>2271</v>
      </c>
      <c r="C12" s="726" t="s">
        <v>2272</v>
      </c>
      <c r="D12" s="728" t="s">
        <v>2276</v>
      </c>
      <c r="E12" s="728" t="s">
        <v>2276</v>
      </c>
      <c r="F12" s="725"/>
      <c r="G12" s="722">
        <v>200000</v>
      </c>
      <c r="H12" s="722">
        <v>1</v>
      </c>
      <c r="I12" s="723">
        <f t="shared" si="0"/>
        <v>200000</v>
      </c>
      <c r="J12" s="722"/>
    </row>
    <row r="13" spans="1:10" s="155" customFormat="1" ht="18" customHeight="1">
      <c r="A13" s="722"/>
      <c r="B13" s="725"/>
      <c r="C13" s="724" t="s">
        <v>2277</v>
      </c>
      <c r="D13" s="725"/>
      <c r="E13" s="725"/>
      <c r="F13" s="725"/>
      <c r="G13" s="722"/>
      <c r="H13" s="722"/>
      <c r="I13" s="723">
        <f>SUM(I4:I12)</f>
        <v>2400000</v>
      </c>
      <c r="J13" s="722"/>
    </row>
  </sheetData>
  <autoFilter ref="A2:J13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I38" sqref="I38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46" t="s">
        <v>2280</v>
      </c>
      <c r="B1" s="1047"/>
      <c r="C1" s="1047"/>
      <c r="D1" s="1047"/>
      <c r="E1" s="1047"/>
      <c r="F1" s="1047"/>
      <c r="G1" s="1047"/>
      <c r="H1" s="1047"/>
      <c r="I1" s="1047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2282</v>
      </c>
      <c r="B3" s="730" t="s">
        <v>2269</v>
      </c>
      <c r="C3" s="731" t="s">
        <v>2281</v>
      </c>
      <c r="D3" s="731" t="s">
        <v>2281</v>
      </c>
      <c r="E3" s="731" t="s">
        <v>2281</v>
      </c>
      <c r="F3" s="664">
        <v>1</v>
      </c>
      <c r="G3" s="662">
        <v>200000</v>
      </c>
      <c r="H3" s="662">
        <f>F3*G3</f>
        <v>200000</v>
      </c>
      <c r="I3" s="662"/>
    </row>
    <row r="4" spans="1:9" s="161" customFormat="1" ht="20.100000000000001" customHeight="1" outlineLevel="2">
      <c r="A4" s="662" t="s">
        <v>2282</v>
      </c>
      <c r="B4" s="730" t="s">
        <v>2270</v>
      </c>
      <c r="C4" s="731" t="s">
        <v>2281</v>
      </c>
      <c r="D4" s="731" t="s">
        <v>2281</v>
      </c>
      <c r="E4" s="731" t="s">
        <v>2281</v>
      </c>
      <c r="F4" s="664">
        <v>1</v>
      </c>
      <c r="G4" s="662">
        <v>200000</v>
      </c>
      <c r="H4" s="662">
        <f t="shared" ref="H4:H5" si="0">F4*G4</f>
        <v>200000</v>
      </c>
      <c r="I4" s="662"/>
    </row>
    <row r="5" spans="1:9" s="161" customFormat="1" ht="20.100000000000001" customHeight="1" outlineLevel="2">
      <c r="A5" s="662" t="s">
        <v>2282</v>
      </c>
      <c r="B5" s="730" t="s">
        <v>2271</v>
      </c>
      <c r="C5" s="731" t="s">
        <v>2281</v>
      </c>
      <c r="D5" s="731" t="s">
        <v>2281</v>
      </c>
      <c r="E5" s="731" t="s">
        <v>2281</v>
      </c>
      <c r="F5" s="729">
        <v>1</v>
      </c>
      <c r="G5" s="732">
        <v>200000</v>
      </c>
      <c r="H5" s="662">
        <f t="shared" si="0"/>
        <v>200000</v>
      </c>
      <c r="I5" s="729"/>
    </row>
    <row r="6" spans="1:9" s="161" customFormat="1" ht="20.100000000000001" customHeight="1" outlineLevel="1">
      <c r="A6" s="662" t="s">
        <v>566</v>
      </c>
      <c r="B6" s="730"/>
      <c r="C6" s="731"/>
      <c r="D6" s="731"/>
      <c r="E6" s="731"/>
      <c r="F6" s="729"/>
      <c r="G6" s="732"/>
      <c r="H6" s="662">
        <f>SUBTOTAL(9,H3:H5)</f>
        <v>600000</v>
      </c>
      <c r="I6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XFD42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46" t="s">
        <v>2080</v>
      </c>
      <c r="B1" s="1047"/>
      <c r="C1" s="1047"/>
      <c r="D1" s="1047"/>
      <c r="E1" s="1047"/>
      <c r="F1" s="1047"/>
      <c r="G1" s="1047"/>
      <c r="H1" s="1047"/>
      <c r="I1" s="1047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2282</v>
      </c>
      <c r="B3" s="730" t="s">
        <v>2269</v>
      </c>
      <c r="C3" s="731" t="s">
        <v>2283</v>
      </c>
      <c r="D3" s="731" t="s">
        <v>2283</v>
      </c>
      <c r="E3" s="731" t="s">
        <v>2283</v>
      </c>
      <c r="F3" s="664">
        <v>1</v>
      </c>
      <c r="G3" s="662">
        <v>500000</v>
      </c>
      <c r="H3" s="662">
        <f>F3*G3</f>
        <v>500000</v>
      </c>
      <c r="I3" s="662"/>
    </row>
    <row r="4" spans="1:9" s="161" customFormat="1" ht="20.100000000000001" customHeight="1" outlineLevel="2">
      <c r="A4" s="662" t="s">
        <v>2282</v>
      </c>
      <c r="B4" s="730" t="s">
        <v>2270</v>
      </c>
      <c r="C4" s="731" t="s">
        <v>2283</v>
      </c>
      <c r="D4" s="731" t="s">
        <v>2283</v>
      </c>
      <c r="E4" s="731" t="s">
        <v>2283</v>
      </c>
      <c r="F4" s="664">
        <v>1</v>
      </c>
      <c r="G4" s="662">
        <v>500000</v>
      </c>
      <c r="H4" s="662">
        <f t="shared" ref="H4:H5" si="0">F4*G4</f>
        <v>500000</v>
      </c>
      <c r="I4" s="662"/>
    </row>
    <row r="5" spans="1:9" s="161" customFormat="1" ht="20.100000000000001" customHeight="1" outlineLevel="2">
      <c r="A5" s="662" t="s">
        <v>2282</v>
      </c>
      <c r="B5" s="730" t="s">
        <v>2271</v>
      </c>
      <c r="C5" s="731" t="s">
        <v>2283</v>
      </c>
      <c r="D5" s="731" t="s">
        <v>2283</v>
      </c>
      <c r="E5" s="731" t="s">
        <v>2283</v>
      </c>
      <c r="F5" s="729">
        <v>1</v>
      </c>
      <c r="G5" s="662">
        <v>500000</v>
      </c>
      <c r="H5" s="662">
        <f t="shared" si="0"/>
        <v>500000</v>
      </c>
      <c r="I5" s="729"/>
    </row>
    <row r="6" spans="1:9" s="161" customFormat="1" ht="20.100000000000001" customHeight="1" outlineLevel="1">
      <c r="A6" s="662" t="s">
        <v>566</v>
      </c>
      <c r="B6" s="730"/>
      <c r="C6" s="731"/>
      <c r="D6" s="731"/>
      <c r="E6" s="731"/>
      <c r="F6" s="729"/>
      <c r="G6" s="732"/>
      <c r="H6" s="662">
        <f>SUBTOTAL(9,H3:H5)</f>
        <v>1500000</v>
      </c>
      <c r="I6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51</vt:i4>
      </vt:variant>
      <vt:variant>
        <vt:lpstr>命名范围</vt:lpstr>
      </vt:variant>
      <vt:variant>
        <vt:i4>67</vt:i4>
      </vt:variant>
    </vt:vector>
  </HeadingPairs>
  <TitlesOfParts>
    <vt:vector size="118" baseType="lpstr">
      <vt:lpstr>华漕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华漕基本支出调整</vt:lpstr>
      <vt:lpstr>2023年绩效预估</vt:lpstr>
      <vt:lpstr>保安经费调整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'2022年绩效清算'!Print_Area</vt:lpstr>
      <vt:lpstr>'2022年校舍维修尾款'!Print_Area</vt:lpstr>
      <vt:lpstr>'2023年绩效预估'!Print_Area</vt:lpstr>
      <vt:lpstr>保安经费调整!Print_Area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华漕基本支出调整!Print_Area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保安经费调整!Print_Titles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华漕基本支出调整!Print_Titles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2023-10-31T05:25:09Z</cp:lastPrinted>
  <dcterms:created xsi:type="dcterms:W3CDTF">2022-11-10T02:18:00Z</dcterms:created>
  <dcterms:modified xsi:type="dcterms:W3CDTF">2023-11-03T07:49:45Z</dcterms:modified>
</cp:coreProperties>
</file>