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53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Override PartName="/xl/worksheets/sheet52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浦江" sheetId="67" r:id="rId1"/>
    <sheet name="基本支出汇总" sheetId="16" state="hidden" r:id="rId2"/>
    <sheet name="2022年绩效清算" sheetId="18" state="hidden" r:id="rId3"/>
    <sheet name="莘庄镇" sheetId="6" state="hidden" r:id="rId4"/>
    <sheet name="吴泾镇" sheetId="7" state="hidden" r:id="rId5"/>
    <sheet name="七宝镇" sheetId="1" state="hidden" r:id="rId6"/>
    <sheet name="浦江镇" sheetId="11" state="hidden" r:id="rId7"/>
    <sheet name="梅陇镇" sheetId="5" state="hidden" r:id="rId8"/>
    <sheet name="马桥镇" sheetId="4" state="hidden" r:id="rId9"/>
    <sheet name="华漕镇" sheetId="3" state="hidden" r:id="rId10"/>
    <sheet name="颛桥镇" sheetId="8" state="hidden" r:id="rId11"/>
    <sheet name="虹桥镇" sheetId="2" state="hidden" r:id="rId12"/>
    <sheet name="2023绩效预估" sheetId="10" state="hidden" r:id="rId13"/>
    <sheet name="保安经费" sheetId="14" state="hidden" r:id="rId14"/>
    <sheet name="残疾就业保障" sheetId="15" state="hidden" r:id="rId15"/>
    <sheet name="补充公用经费" sheetId="17" state="hidden" r:id="rId16"/>
    <sheet name="设备购置与更新" sheetId="25" state="hidden" r:id="rId17"/>
    <sheet name="理化实验室" sheetId="26" state="hidden" r:id="rId18"/>
    <sheet name="吴泾维修2023" sheetId="28" state="hidden" r:id="rId19"/>
    <sheet name="七宝维修2023" sheetId="29" state="hidden" r:id="rId20"/>
    <sheet name="浦江维修2023" sheetId="30" state="hidden" r:id="rId21"/>
    <sheet name="梅陇维修2023" sheetId="31" state="hidden" r:id="rId22"/>
    <sheet name="马桥维修2023" sheetId="32" state="hidden" r:id="rId23"/>
    <sheet name="华漕维修2023" sheetId="33" state="hidden" r:id="rId24"/>
    <sheet name="颛桥维修2023" sheetId="34" state="hidden" r:id="rId25"/>
    <sheet name="虹桥维修2023" sheetId="35" state="hidden" r:id="rId26"/>
    <sheet name="2022年校舍维修尾款" sheetId="36" state="hidden" r:id="rId27"/>
    <sheet name="学前科" sheetId="20" state="hidden" r:id="rId28"/>
    <sheet name="普教一科" sheetId="21" state="hidden" r:id="rId29"/>
    <sheet name="普教二科" sheetId="22" state="hidden" r:id="rId30"/>
    <sheet name="信息化项目" sheetId="19" state="hidden" r:id="rId31"/>
    <sheet name="考试中心" sheetId="23" state="hidden" r:id="rId32"/>
    <sheet name="教育学院" sheetId="24" state="hidden" r:id="rId33"/>
    <sheet name="抚恤金" sheetId="37" state="hidden" r:id="rId34"/>
    <sheet name="镇管未开办保安经费" sheetId="38" state="hidden" r:id="rId35"/>
    <sheet name="浦江设备文馨学校" sheetId="39" state="hidden" r:id="rId36"/>
    <sheet name="扩班设备" sheetId="44" state="hidden" r:id="rId37"/>
    <sheet name="浦江维修2023文馨" sheetId="40" state="hidden" r:id="rId38"/>
    <sheet name="学前科补" sheetId="42" state="hidden" r:id="rId39"/>
    <sheet name="普教二科补" sheetId="41" state="hidden" r:id="rId40"/>
    <sheet name="补充公用经费补" sheetId="43" state="hidden" r:id="rId41"/>
    <sheet name="浦江基本支出调整" sheetId="54" state="hidden" r:id="rId42"/>
    <sheet name="2023年绩效预估" sheetId="66" state="hidden" r:id="rId43"/>
    <sheet name="2023尾款清算" sheetId="65" state="hidden" r:id="rId44"/>
    <sheet name="保安经费调整" sheetId="64" state="hidden" r:id="rId45"/>
    <sheet name="补充公用经费调整" sheetId="62" state="hidden" r:id="rId46"/>
    <sheet name="抚恤金调整" sheetId="60" state="hidden" r:id="rId47"/>
    <sheet name="储备教师" sheetId="50" state="hidden" r:id="rId48"/>
    <sheet name="残疾就业保障调整" sheetId="61" state="hidden" r:id="rId49"/>
    <sheet name="追加设备" sheetId="45" state="hidden" r:id="rId50"/>
    <sheet name="普教一科追加" sheetId="46" state="hidden" r:id="rId51"/>
    <sheet name="普教二科追加" sheetId="47" state="hidden" r:id="rId52"/>
    <sheet name="未开办学校物业管理（区级代管）" sheetId="49" state="hidden" r:id="rId53"/>
  </sheets>
  <externalReferences>
    <externalReference r:id="rId54"/>
    <externalReference r:id="rId55"/>
    <externalReference r:id="rId56"/>
  </externalReferences>
  <definedNames>
    <definedName name="_xlnm._FilterDatabase" localSheetId="12" hidden="1">'2023绩效预估'!$A$2:$H$126</definedName>
    <definedName name="_xlnm._FilterDatabase" localSheetId="45" hidden="1">补充公用经费调整!$B$2:$AV$22</definedName>
    <definedName name="_xlnm._FilterDatabase" localSheetId="49" hidden="1">追加设备!$A$2:$J$52</definedName>
    <definedName name="_xlnm.Print_Area" localSheetId="2">'2022年绩效清算'!$A$1:$Q$129</definedName>
    <definedName name="_xlnm.Print_Area" localSheetId="26">'2022年校舍维修尾款'!$A$1:$J$29</definedName>
    <definedName name="_xlnm.Print_Area" localSheetId="42">'2023年绩效预估'!$A$1:$J$22</definedName>
    <definedName name="_xlnm.Print_Area" localSheetId="43">'2023尾款清算'!$A$1:$K$4</definedName>
    <definedName name="_xlnm.Print_Area" localSheetId="44">保安经费调整!$A$1:$N$35</definedName>
    <definedName name="_xlnm.Print_Area" localSheetId="40">补充公用经费补!$A$1:$AQ$119</definedName>
    <definedName name="_xlnm.Print_Area" localSheetId="45">补充公用经费调整!$A$1:$AW$22</definedName>
    <definedName name="_xlnm.Print_Area" localSheetId="48">残疾就业保障调整!$A$1:$E$22</definedName>
    <definedName name="_xlnm.Print_Area" localSheetId="47">储备教师!$A$1:$I$35</definedName>
    <definedName name="_xlnm.Print_Area" localSheetId="46">抚恤金调整!$A$1:$F$10</definedName>
    <definedName name="_xlnm.Print_Area" localSheetId="25">虹桥维修2023!$A$1:$K$41</definedName>
    <definedName name="_xlnm.Print_Area" localSheetId="23">华漕维修2023!$A$1:$K$19</definedName>
    <definedName name="_xlnm.Print_Area" localSheetId="32">教育学院!$A$1:$G$48</definedName>
    <definedName name="_xlnm.Print_Area" localSheetId="31">考试中心!$A$1:$I$23</definedName>
    <definedName name="_xlnm.Print_Area" localSheetId="36">扩班设备!$A$1:$L$384</definedName>
    <definedName name="_xlnm.Print_Area" localSheetId="17">理化实验室!$A$1:$I$438</definedName>
    <definedName name="_xlnm.Print_Area" localSheetId="22">马桥维修2023!$A$1:$J$108</definedName>
    <definedName name="_xlnm.Print_Area" localSheetId="21">梅陇维修2023!$A$1:$J$47</definedName>
    <definedName name="_xlnm.Print_Area" localSheetId="41">浦江基本支出调整!$A$1:$Z$78</definedName>
    <definedName name="_xlnm.Print_Area" localSheetId="35">浦江设备文馨学校!$A$1:$J$30</definedName>
    <definedName name="_xlnm.Print_Area" localSheetId="20">浦江维修2023!$A$1:$J$89</definedName>
    <definedName name="_xlnm.Print_Area" localSheetId="37">浦江维修2023文馨!$A$1:$K$192</definedName>
    <definedName name="_xlnm.Print_Area" localSheetId="6">浦江镇!$A$1:$Y$106</definedName>
    <definedName name="_xlnm.Print_Area" localSheetId="29">普教二科!$A$1:$H$60</definedName>
    <definedName name="_xlnm.Print_Area" localSheetId="39">普教二科补!$A$1:$I$5</definedName>
    <definedName name="_xlnm.Print_Area" localSheetId="51">普教二科追加!$A$1:$I$8</definedName>
    <definedName name="_xlnm.Print_Area" localSheetId="28">普教一科!$A$1:$G$110</definedName>
    <definedName name="_xlnm.Print_Area" localSheetId="50">普教一科追加!$A$1:$I$8</definedName>
    <definedName name="_xlnm.Print_Area" localSheetId="19">七宝维修2023!$A$1:$J$159</definedName>
    <definedName name="_xlnm.Print_Area" localSheetId="16">设备购置与更新!$A$1:$L$69</definedName>
    <definedName name="_xlnm.Print_Area" localSheetId="52">'未开办学校物业管理（区级代管）'!$A$1:$O$11</definedName>
    <definedName name="_xlnm.Print_Area" localSheetId="18">吴泾维修2023!$A$1:$J$51</definedName>
    <definedName name="_xlnm.Print_Area" localSheetId="30">信息化项目!$A$1:$AC$13</definedName>
    <definedName name="_xlnm.Print_Area" localSheetId="27">学前科!$A$1:$I$108</definedName>
    <definedName name="_xlnm.Print_Area" localSheetId="38">学前科补!$A$1:$I$4</definedName>
    <definedName name="_xlnm.Print_Area" localSheetId="34">镇管未开办保安经费!$A$1:$L$12</definedName>
    <definedName name="_xlnm.Print_Area" localSheetId="24">颛桥维修2023!$A$1:$J$53</definedName>
    <definedName name="_xlnm.Print_Area" localSheetId="49">追加设备!$A$1:$J$52</definedName>
    <definedName name="_xlnm.Print_Titles" localSheetId="2">'2022年绩效清算'!$1:$3</definedName>
    <definedName name="_xlnm.Print_Titles" localSheetId="42">'2023年绩效预估'!$1:$2</definedName>
    <definedName name="_xlnm.Print_Titles" localSheetId="44">保安经费调整!$1:$2</definedName>
    <definedName name="_xlnm.Print_Titles" localSheetId="40">补充公用经费补!$1:$3</definedName>
    <definedName name="_xlnm.Print_Titles" localSheetId="45">补充公用经费调整!$1:$3</definedName>
    <definedName name="_xlnm.Print_Titles" localSheetId="48">残疾就业保障调整!$1:$2</definedName>
    <definedName name="_xlnm.Print_Titles" localSheetId="47">储备教师!$1:$2</definedName>
    <definedName name="_xlnm.Print_Titles" localSheetId="46">抚恤金调整!$1:$2</definedName>
    <definedName name="_xlnm.Print_Titles" localSheetId="25">虹桥维修2023!$1:$2</definedName>
    <definedName name="_xlnm.Print_Titles" localSheetId="23">华漕维修2023!$1:$3</definedName>
    <definedName name="_xlnm.Print_Titles" localSheetId="32">教育学院!$1:$2</definedName>
    <definedName name="_xlnm.Print_Titles" localSheetId="31">考试中心!$1:$2</definedName>
    <definedName name="_xlnm.Print_Titles" localSheetId="36">扩班设备!$1:$2</definedName>
    <definedName name="_xlnm.Print_Titles" localSheetId="17">理化实验室!$1:$3</definedName>
    <definedName name="_xlnm.Print_Titles" localSheetId="22">马桥维修2023!$1:$2</definedName>
    <definedName name="_xlnm.Print_Titles" localSheetId="21">梅陇维修2023!$1:$2</definedName>
    <definedName name="_xlnm.Print_Titles" localSheetId="41">浦江基本支出调整!$1:$2</definedName>
    <definedName name="_xlnm.Print_Titles" localSheetId="35">浦江设备文馨学校!$1:$2</definedName>
    <definedName name="_xlnm.Print_Titles" localSheetId="20">浦江维修2023!$1:$2</definedName>
    <definedName name="_xlnm.Print_Titles" localSheetId="37">浦江维修2023文馨!$1:$3</definedName>
    <definedName name="_xlnm.Print_Titles" localSheetId="6">浦江镇!$1:$2</definedName>
    <definedName name="_xlnm.Print_Titles" localSheetId="29">普教二科!$1:$2</definedName>
    <definedName name="_xlnm.Print_Titles" localSheetId="51">普教二科追加!$1:$2</definedName>
    <definedName name="_xlnm.Print_Titles" localSheetId="28">普教一科!$1:$2</definedName>
    <definedName name="_xlnm.Print_Titles" localSheetId="50">普教一科追加!$1:$2</definedName>
    <definedName name="_xlnm.Print_Titles" localSheetId="19">七宝维修2023!$1:$2</definedName>
    <definedName name="_xlnm.Print_Titles" localSheetId="16">设备购置与更新!$1:$2</definedName>
    <definedName name="_xlnm.Print_Titles" localSheetId="18">吴泾维修2023!$1:$2</definedName>
    <definedName name="_xlnm.Print_Titles" localSheetId="27">学前科!$1:$2</definedName>
    <definedName name="_xlnm.Print_Titles" localSheetId="24">颛桥维修2023!$1:$2</definedName>
    <definedName name="_xlnm.Print_Titles" localSheetId="49">追加设备!$1:$3</definedName>
  </definedNames>
  <calcPr calcId="124519"/>
</workbook>
</file>

<file path=xl/calcChain.xml><?xml version="1.0" encoding="utf-8"?>
<calcChain xmlns="http://schemas.openxmlformats.org/spreadsheetml/2006/main">
  <c r="D18" i="67"/>
  <c r="E18"/>
  <c r="C18"/>
  <c r="E15"/>
  <c r="E16"/>
  <c r="E17"/>
  <c r="D15"/>
  <c r="D16"/>
  <c r="D17"/>
  <c r="C17"/>
  <c r="C16"/>
  <c r="C15"/>
  <c r="C14"/>
  <c r="E14" s="1"/>
  <c r="C13"/>
  <c r="E13" s="1"/>
  <c r="C12"/>
  <c r="E12" s="1"/>
  <c r="C11"/>
  <c r="E11" s="1"/>
  <c r="C10"/>
  <c r="E10" s="1"/>
  <c r="C9"/>
  <c r="E9" s="1"/>
  <c r="C8"/>
  <c r="E8" s="1"/>
  <c r="C6"/>
  <c r="E6" s="1"/>
  <c r="C5"/>
  <c r="E5" s="1"/>
  <c r="C4"/>
  <c r="E4" s="1"/>
  <c r="E7"/>
  <c r="F22" i="66" l="1"/>
  <c r="E22"/>
  <c r="G22" s="1"/>
  <c r="G21"/>
  <c r="J21" s="1"/>
  <c r="G20"/>
  <c r="J20" s="1"/>
  <c r="J19"/>
  <c r="G19"/>
  <c r="G18"/>
  <c r="J18" s="1"/>
  <c r="J17"/>
  <c r="G17"/>
  <c r="G16"/>
  <c r="J16" s="1"/>
  <c r="G15"/>
  <c r="J15" s="1"/>
  <c r="G14"/>
  <c r="J14" s="1"/>
  <c r="G13"/>
  <c r="J13" s="1"/>
  <c r="G12"/>
  <c r="J12" s="1"/>
  <c r="J11"/>
  <c r="G11"/>
  <c r="G10"/>
  <c r="J10" s="1"/>
  <c r="J9"/>
  <c r="G9"/>
  <c r="G8"/>
  <c r="J8" s="1"/>
  <c r="G7"/>
  <c r="J7" s="1"/>
  <c r="G6"/>
  <c r="J6" s="1"/>
  <c r="G5"/>
  <c r="J5" s="1"/>
  <c r="G4"/>
  <c r="J4" s="1"/>
  <c r="J3"/>
  <c r="G3"/>
  <c r="J22" l="1"/>
  <c r="N35" i="64" l="1"/>
  <c r="M35"/>
  <c r="K35"/>
  <c r="J35"/>
  <c r="G35"/>
  <c r="F35"/>
  <c r="I34"/>
  <c r="L34" s="1"/>
  <c r="I33"/>
  <c r="L33" s="1"/>
  <c r="I32"/>
  <c r="L32" s="1"/>
  <c r="I31"/>
  <c r="L31" s="1"/>
  <c r="I30"/>
  <c r="L30" s="1"/>
  <c r="I29"/>
  <c r="L29" s="1"/>
  <c r="I28"/>
  <c r="L28" s="1"/>
  <c r="I27"/>
  <c r="L27" s="1"/>
  <c r="I26"/>
  <c r="L26" s="1"/>
  <c r="I25"/>
  <c r="L25" s="1"/>
  <c r="I24"/>
  <c r="L24" s="1"/>
  <c r="I23"/>
  <c r="L23" s="1"/>
  <c r="I22"/>
  <c r="L22" s="1"/>
  <c r="I21"/>
  <c r="L21" s="1"/>
  <c r="I20"/>
  <c r="L20" s="1"/>
  <c r="I19"/>
  <c r="L19" s="1"/>
  <c r="L18"/>
  <c r="I18"/>
  <c r="I17"/>
  <c r="L17" s="1"/>
  <c r="I16"/>
  <c r="L16" s="1"/>
  <c r="I15"/>
  <c r="L15" s="1"/>
  <c r="I14"/>
  <c r="L14" s="1"/>
  <c r="I13"/>
  <c r="L13" s="1"/>
  <c r="I12"/>
  <c r="L12" s="1"/>
  <c r="I11"/>
  <c r="L11" s="1"/>
  <c r="I10"/>
  <c r="L10" s="1"/>
  <c r="I9"/>
  <c r="L9" s="1"/>
  <c r="I8"/>
  <c r="L8" s="1"/>
  <c r="I7"/>
  <c r="L7" s="1"/>
  <c r="I6"/>
  <c r="L6" s="1"/>
  <c r="I5"/>
  <c r="L5" s="1"/>
  <c r="I4"/>
  <c r="L4" s="1"/>
  <c r="I3"/>
  <c r="L3" s="1"/>
  <c r="L35" l="1"/>
  <c r="I35"/>
  <c r="G3" i="65" l="1"/>
  <c r="H3" s="1"/>
  <c r="J3" s="1"/>
  <c r="J4" s="1"/>
  <c r="AW22" i="62"/>
  <c r="D10" i="60"/>
  <c r="F10"/>
  <c r="H35" i="50" l="1"/>
  <c r="I35"/>
  <c r="AM22" i="62" l="1"/>
  <c r="AN22"/>
  <c r="AO22"/>
  <c r="AQ22"/>
  <c r="AD4"/>
  <c r="AD5"/>
  <c r="AD6"/>
  <c r="AD7"/>
  <c r="AD8"/>
  <c r="AD9"/>
  <c r="AD10"/>
  <c r="AD11"/>
  <c r="AD12"/>
  <c r="AD13"/>
  <c r="AD14"/>
  <c r="AD15"/>
  <c r="AD16"/>
  <c r="AD17"/>
  <c r="AD18"/>
  <c r="AD19"/>
  <c r="AD20"/>
  <c r="AD21"/>
  <c r="AD22" l="1"/>
  <c r="AT22" l="1"/>
  <c r="AU22"/>
  <c r="AJ4" l="1"/>
  <c r="AJ5"/>
  <c r="AJ6"/>
  <c r="AJ7"/>
  <c r="AJ8"/>
  <c r="AJ9"/>
  <c r="AJ10"/>
  <c r="AJ11"/>
  <c r="AJ12"/>
  <c r="AJ13"/>
  <c r="AJ14"/>
  <c r="AJ15"/>
  <c r="AJ16"/>
  <c r="AJ17"/>
  <c r="AJ18"/>
  <c r="AJ19"/>
  <c r="AJ20"/>
  <c r="AJ21"/>
  <c r="AB22"/>
  <c r="AA22"/>
  <c r="Z22"/>
  <c r="Y22"/>
  <c r="W22"/>
  <c r="V22"/>
  <c r="U22"/>
  <c r="T22"/>
  <c r="M22"/>
  <c r="L22"/>
  <c r="K22"/>
  <c r="J22"/>
  <c r="H22"/>
  <c r="G22"/>
  <c r="F22"/>
  <c r="E22"/>
  <c r="D22"/>
  <c r="AC21"/>
  <c r="AR21" s="1"/>
  <c r="X21"/>
  <c r="R21"/>
  <c r="Q21"/>
  <c r="P21"/>
  <c r="O21"/>
  <c r="N21"/>
  <c r="I21"/>
  <c r="AC20"/>
  <c r="AR20" s="1"/>
  <c r="X20"/>
  <c r="R20"/>
  <c r="Q20"/>
  <c r="P20"/>
  <c r="O20"/>
  <c r="N20"/>
  <c r="I20"/>
  <c r="AC19"/>
  <c r="AR19" s="1"/>
  <c r="X19"/>
  <c r="R19"/>
  <c r="Q19"/>
  <c r="P19"/>
  <c r="O19"/>
  <c r="N19"/>
  <c r="I19"/>
  <c r="AC18"/>
  <c r="AR18" s="1"/>
  <c r="X18"/>
  <c r="R18"/>
  <c r="Q18"/>
  <c r="P18"/>
  <c r="O18"/>
  <c r="N18"/>
  <c r="I18"/>
  <c r="AC17"/>
  <c r="AR17" s="1"/>
  <c r="X17"/>
  <c r="R17"/>
  <c r="Q17"/>
  <c r="P17"/>
  <c r="O17"/>
  <c r="N17"/>
  <c r="I17"/>
  <c r="AC16"/>
  <c r="AR16" s="1"/>
  <c r="X16"/>
  <c r="R16"/>
  <c r="Q16"/>
  <c r="P16"/>
  <c r="O16"/>
  <c r="N16"/>
  <c r="I16"/>
  <c r="AC15"/>
  <c r="AR15" s="1"/>
  <c r="X15"/>
  <c r="R15"/>
  <c r="Q15"/>
  <c r="P15"/>
  <c r="O15"/>
  <c r="N15"/>
  <c r="I15"/>
  <c r="AC14"/>
  <c r="AR14" s="1"/>
  <c r="X14"/>
  <c r="R14"/>
  <c r="Q14"/>
  <c r="P14"/>
  <c r="O14"/>
  <c r="N14"/>
  <c r="I14"/>
  <c r="AC13"/>
  <c r="AR13" s="1"/>
  <c r="X13"/>
  <c r="R13"/>
  <c r="Q13"/>
  <c r="P13"/>
  <c r="O13"/>
  <c r="N13"/>
  <c r="I13"/>
  <c r="AC12"/>
  <c r="AR12" s="1"/>
  <c r="X12"/>
  <c r="R12"/>
  <c r="Q12"/>
  <c r="P12"/>
  <c r="O12"/>
  <c r="N12"/>
  <c r="I12"/>
  <c r="AC11"/>
  <c r="AR11" s="1"/>
  <c r="X11"/>
  <c r="R11"/>
  <c r="Q11"/>
  <c r="P11"/>
  <c r="O11"/>
  <c r="N11"/>
  <c r="I11"/>
  <c r="AC10"/>
  <c r="AR10" s="1"/>
  <c r="X10"/>
  <c r="R10"/>
  <c r="Q10"/>
  <c r="P10"/>
  <c r="O10"/>
  <c r="N10"/>
  <c r="I10"/>
  <c r="AC9"/>
  <c r="AR9" s="1"/>
  <c r="X9"/>
  <c r="R9"/>
  <c r="Q9"/>
  <c r="P9"/>
  <c r="O9"/>
  <c r="N9"/>
  <c r="I9"/>
  <c r="AC8"/>
  <c r="AR8" s="1"/>
  <c r="X8"/>
  <c r="R8"/>
  <c r="Q8"/>
  <c r="P8"/>
  <c r="O8"/>
  <c r="N8"/>
  <c r="I8"/>
  <c r="AC7"/>
  <c r="AR7" s="1"/>
  <c r="X7"/>
  <c r="R7"/>
  <c r="Q7"/>
  <c r="P7"/>
  <c r="O7"/>
  <c r="N7"/>
  <c r="I7"/>
  <c r="AC6"/>
  <c r="AR6" s="1"/>
  <c r="X6"/>
  <c r="R6"/>
  <c r="Q6"/>
  <c r="P6"/>
  <c r="O6"/>
  <c r="N6"/>
  <c r="I6"/>
  <c r="AC5"/>
  <c r="AR5" s="1"/>
  <c r="X5"/>
  <c r="R5"/>
  <c r="Q5"/>
  <c r="P5"/>
  <c r="O5"/>
  <c r="N5"/>
  <c r="I5"/>
  <c r="AC4"/>
  <c r="AR4" s="1"/>
  <c r="X4"/>
  <c r="R4"/>
  <c r="Q4"/>
  <c r="P4"/>
  <c r="O4"/>
  <c r="N4"/>
  <c r="I4"/>
  <c r="AJ22" l="1"/>
  <c r="AR22"/>
  <c r="AK6"/>
  <c r="AS6"/>
  <c r="AV6" s="1"/>
  <c r="AH4"/>
  <c r="AI5"/>
  <c r="AS5"/>
  <c r="AV5" s="1"/>
  <c r="AG7"/>
  <c r="AS7"/>
  <c r="AV7" s="1"/>
  <c r="AH8"/>
  <c r="AS8"/>
  <c r="AV8" s="1"/>
  <c r="AI9"/>
  <c r="AS9"/>
  <c r="AV9" s="1"/>
  <c r="AK10"/>
  <c r="AS10"/>
  <c r="AV10" s="1"/>
  <c r="AG11"/>
  <c r="AS11"/>
  <c r="AV11" s="1"/>
  <c r="AH12"/>
  <c r="AS12"/>
  <c r="AV12" s="1"/>
  <c r="AI13"/>
  <c r="AS13"/>
  <c r="AV13" s="1"/>
  <c r="AK14"/>
  <c r="AS14"/>
  <c r="AV14" s="1"/>
  <c r="AG15"/>
  <c r="AS15"/>
  <c r="AV15" s="1"/>
  <c r="AH16"/>
  <c r="AS16"/>
  <c r="AV16" s="1"/>
  <c r="AI17"/>
  <c r="AS17"/>
  <c r="AV17" s="1"/>
  <c r="AK18"/>
  <c r="AS18"/>
  <c r="AV18" s="1"/>
  <c r="AG19"/>
  <c r="AS19"/>
  <c r="AV19" s="1"/>
  <c r="AH20"/>
  <c r="AS20"/>
  <c r="AV20" s="1"/>
  <c r="AI21"/>
  <c r="AS21"/>
  <c r="AV21" s="1"/>
  <c r="AE18"/>
  <c r="AE14"/>
  <c r="AE10"/>
  <c r="AE6"/>
  <c r="AF19"/>
  <c r="AF15"/>
  <c r="AF11"/>
  <c r="AF7"/>
  <c r="AG20"/>
  <c r="AG16"/>
  <c r="AG12"/>
  <c r="AG8"/>
  <c r="AG4"/>
  <c r="AH21"/>
  <c r="AL21" s="1"/>
  <c r="AH17"/>
  <c r="AL17" s="1"/>
  <c r="AH13"/>
  <c r="AL13" s="1"/>
  <c r="AH9"/>
  <c r="AL9" s="1"/>
  <c r="AH5"/>
  <c r="AL5" s="1"/>
  <c r="AI18"/>
  <c r="AI14"/>
  <c r="AI10"/>
  <c r="AI6"/>
  <c r="AK19"/>
  <c r="AK15"/>
  <c r="AK11"/>
  <c r="AK7"/>
  <c r="AE19"/>
  <c r="AE15"/>
  <c r="AE11"/>
  <c r="AE7"/>
  <c r="AF20"/>
  <c r="AF16"/>
  <c r="AF12"/>
  <c r="AF8"/>
  <c r="AF4"/>
  <c r="AG21"/>
  <c r="AG17"/>
  <c r="AG13"/>
  <c r="AG9"/>
  <c r="AG5"/>
  <c r="AH18"/>
  <c r="AL18" s="1"/>
  <c r="AH14"/>
  <c r="AH10"/>
  <c r="AH6"/>
  <c r="AI19"/>
  <c r="AI15"/>
  <c r="AI11"/>
  <c r="AI7"/>
  <c r="AK20"/>
  <c r="AK16"/>
  <c r="AK12"/>
  <c r="AK8"/>
  <c r="AK4"/>
  <c r="AE20"/>
  <c r="AE16"/>
  <c r="AE12"/>
  <c r="AE8"/>
  <c r="AE4"/>
  <c r="AF21"/>
  <c r="AF17"/>
  <c r="AF13"/>
  <c r="AF9"/>
  <c r="AF5"/>
  <c r="AG18"/>
  <c r="AG14"/>
  <c r="AG10"/>
  <c r="AG6"/>
  <c r="AH19"/>
  <c r="AH15"/>
  <c r="AH11"/>
  <c r="AH7"/>
  <c r="AI20"/>
  <c r="AL20" s="1"/>
  <c r="AI16"/>
  <c r="AL16" s="1"/>
  <c r="AI12"/>
  <c r="AL12" s="1"/>
  <c r="AI8"/>
  <c r="AL8" s="1"/>
  <c r="AI4"/>
  <c r="AL4" s="1"/>
  <c r="AK21"/>
  <c r="AK17"/>
  <c r="AK13"/>
  <c r="AK9"/>
  <c r="AK5"/>
  <c r="AE21"/>
  <c r="AE17"/>
  <c r="AE13"/>
  <c r="AE9"/>
  <c r="AE5"/>
  <c r="AF18"/>
  <c r="AF14"/>
  <c r="AF10"/>
  <c r="AF6"/>
  <c r="S18"/>
  <c r="S19"/>
  <c r="S10"/>
  <c r="X22"/>
  <c r="S15"/>
  <c r="S14"/>
  <c r="S11"/>
  <c r="S7"/>
  <c r="S6"/>
  <c r="I22"/>
  <c r="Q22"/>
  <c r="S4"/>
  <c r="S8"/>
  <c r="S9"/>
  <c r="S12"/>
  <c r="S13"/>
  <c r="S16"/>
  <c r="S17"/>
  <c r="S20"/>
  <c r="S21"/>
  <c r="P22"/>
  <c r="N22"/>
  <c r="R22"/>
  <c r="S5"/>
  <c r="AC22"/>
  <c r="O22"/>
  <c r="AE22" l="1"/>
  <c r="AI22"/>
  <c r="AK22"/>
  <c r="AF22"/>
  <c r="AG22"/>
  <c r="AL7"/>
  <c r="AP7" s="1"/>
  <c r="AX7" s="1"/>
  <c r="AH22"/>
  <c r="AL19"/>
  <c r="AS4"/>
  <c r="AL10"/>
  <c r="AP10" s="1"/>
  <c r="AX10" s="1"/>
  <c r="AL14"/>
  <c r="AP14" s="1"/>
  <c r="AX14" s="1"/>
  <c r="AL11"/>
  <c r="AP11" s="1"/>
  <c r="AX11" s="1"/>
  <c r="AL15"/>
  <c r="AP15" s="1"/>
  <c r="AX15" s="1"/>
  <c r="AL6"/>
  <c r="AP6" s="1"/>
  <c r="AX6" s="1"/>
  <c r="AP18"/>
  <c r="AX18" s="1"/>
  <c r="AP13"/>
  <c r="AX13" s="1"/>
  <c r="AP17"/>
  <c r="AX17" s="1"/>
  <c r="AP16"/>
  <c r="AX16" s="1"/>
  <c r="AP9"/>
  <c r="AX9" s="1"/>
  <c r="AP12"/>
  <c r="AX12" s="1"/>
  <c r="AP5"/>
  <c r="AX5" s="1"/>
  <c r="AP21"/>
  <c r="AX21" s="1"/>
  <c r="AP8"/>
  <c r="AX8" s="1"/>
  <c r="AP19"/>
  <c r="AX19" s="1"/>
  <c r="AP20"/>
  <c r="AP4"/>
  <c r="S22"/>
  <c r="AL22" l="1"/>
  <c r="AX20"/>
  <c r="AP22"/>
  <c r="AS22"/>
  <c r="AV4"/>
  <c r="AV22" s="1"/>
  <c r="AX4"/>
  <c r="C10" i="60" l="1"/>
  <c r="E3"/>
  <c r="E4"/>
  <c r="E5"/>
  <c r="E6"/>
  <c r="E7"/>
  <c r="E8"/>
  <c r="E9"/>
  <c r="E10" l="1"/>
  <c r="D22" i="61" l="1"/>
  <c r="C22"/>
  <c r="E3"/>
  <c r="E22" s="1"/>
  <c r="E4"/>
  <c r="E5"/>
  <c r="E6"/>
  <c r="E7"/>
  <c r="E8"/>
  <c r="E9"/>
  <c r="E10"/>
  <c r="E11"/>
  <c r="E12"/>
  <c r="E13"/>
  <c r="E14"/>
  <c r="E15"/>
  <c r="E16"/>
  <c r="E17"/>
  <c r="E18"/>
  <c r="E19"/>
  <c r="E20"/>
  <c r="E21"/>
  <c r="X78" i="54" l="1"/>
  <c r="Z78" s="1"/>
  <c r="Z77"/>
  <c r="X77"/>
  <c r="X76"/>
  <c r="Z76" s="1"/>
  <c r="Z75"/>
  <c r="X75"/>
  <c r="X74"/>
  <c r="Z74" s="1"/>
  <c r="Z73"/>
  <c r="X73"/>
  <c r="X72"/>
  <c r="Z72" s="1"/>
  <c r="Z71"/>
  <c r="X71"/>
  <c r="W70"/>
  <c r="V70"/>
  <c r="U70"/>
  <c r="T70"/>
  <c r="S70"/>
  <c r="R70"/>
  <c r="Q70"/>
  <c r="P70"/>
  <c r="O70"/>
  <c r="N70"/>
  <c r="M70"/>
  <c r="L70"/>
  <c r="K70"/>
  <c r="J70"/>
  <c r="I70"/>
  <c r="H70"/>
  <c r="G70"/>
  <c r="X70" s="1"/>
  <c r="Z70" s="1"/>
  <c r="F70"/>
  <c r="E70"/>
  <c r="X69"/>
  <c r="Z69" s="1"/>
  <c r="Z68"/>
  <c r="X68"/>
  <c r="X67"/>
  <c r="Z67" s="1"/>
  <c r="Z66"/>
  <c r="X66"/>
  <c r="W65"/>
  <c r="V65"/>
  <c r="U65"/>
  <c r="T65"/>
  <c r="T52" s="1"/>
  <c r="T51" s="1"/>
  <c r="S65"/>
  <c r="R65"/>
  <c r="Q65"/>
  <c r="P65"/>
  <c r="O65"/>
  <c r="N65"/>
  <c r="M65"/>
  <c r="L65"/>
  <c r="K65"/>
  <c r="J65"/>
  <c r="I65"/>
  <c r="H65"/>
  <c r="X65" s="1"/>
  <c r="Z65" s="1"/>
  <c r="G65"/>
  <c r="F65"/>
  <c r="E65"/>
  <c r="X64"/>
  <c r="X63"/>
  <c r="W62"/>
  <c r="V62"/>
  <c r="U62"/>
  <c r="T62"/>
  <c r="S62"/>
  <c r="R62"/>
  <c r="Q62"/>
  <c r="P62"/>
  <c r="O62"/>
  <c r="N62"/>
  <c r="M62"/>
  <c r="L62"/>
  <c r="K62"/>
  <c r="J62"/>
  <c r="I62"/>
  <c r="H62"/>
  <c r="G62"/>
  <c r="F62"/>
  <c r="E62"/>
  <c r="X62" s="1"/>
  <c r="R61"/>
  <c r="R58" s="1"/>
  <c r="N61"/>
  <c r="N58" s="1"/>
  <c r="X60"/>
  <c r="F60"/>
  <c r="W59"/>
  <c r="V59"/>
  <c r="U59"/>
  <c r="T59"/>
  <c r="S59"/>
  <c r="R59"/>
  <c r="Q59"/>
  <c r="P59"/>
  <c r="O59"/>
  <c r="N59"/>
  <c r="M59"/>
  <c r="L59"/>
  <c r="K59"/>
  <c r="J59"/>
  <c r="I59"/>
  <c r="H59"/>
  <c r="G59"/>
  <c r="X59" s="1"/>
  <c r="F59"/>
  <c r="E59"/>
  <c r="W58"/>
  <c r="V58"/>
  <c r="U58"/>
  <c r="T58"/>
  <c r="S58"/>
  <c r="Q58"/>
  <c r="P58"/>
  <c r="O58"/>
  <c r="M58"/>
  <c r="L58"/>
  <c r="K58"/>
  <c r="J58"/>
  <c r="I58"/>
  <c r="H58"/>
  <c r="G58"/>
  <c r="F58"/>
  <c r="E58"/>
  <c r="X57"/>
  <c r="W56"/>
  <c r="V56"/>
  <c r="U56"/>
  <c r="T56"/>
  <c r="S56"/>
  <c r="R56"/>
  <c r="Q56"/>
  <c r="P56"/>
  <c r="O56"/>
  <c r="N56"/>
  <c r="M56"/>
  <c r="L56"/>
  <c r="K56"/>
  <c r="J56"/>
  <c r="I56"/>
  <c r="H56"/>
  <c r="X56" s="1"/>
  <c r="G56"/>
  <c r="F56"/>
  <c r="E56"/>
  <c r="S55"/>
  <c r="K55"/>
  <c r="H54"/>
  <c r="W54"/>
  <c r="V54"/>
  <c r="T54"/>
  <c r="S54"/>
  <c r="R54"/>
  <c r="Q54"/>
  <c r="P54"/>
  <c r="O54"/>
  <c r="M54"/>
  <c r="L54"/>
  <c r="J54"/>
  <c r="I54"/>
  <c r="G54"/>
  <c r="F54"/>
  <c r="E54"/>
  <c r="F53"/>
  <c r="X53" s="1"/>
  <c r="U52"/>
  <c r="S52"/>
  <c r="S51" s="1"/>
  <c r="Q52"/>
  <c r="N52"/>
  <c r="M52"/>
  <c r="H52"/>
  <c r="H51" s="1"/>
  <c r="F52"/>
  <c r="X52" s="1"/>
  <c r="W51"/>
  <c r="V51"/>
  <c r="U51"/>
  <c r="R51"/>
  <c r="Q51"/>
  <c r="P51"/>
  <c r="O51"/>
  <c r="N51"/>
  <c r="M51"/>
  <c r="L51"/>
  <c r="K51"/>
  <c r="J51"/>
  <c r="I51"/>
  <c r="G51"/>
  <c r="E51"/>
  <c r="T50"/>
  <c r="S50"/>
  <c r="S49" s="1"/>
  <c r="Q50"/>
  <c r="Q49" s="1"/>
  <c r="N50"/>
  <c r="N49" s="1"/>
  <c r="H50"/>
  <c r="F50"/>
  <c r="X50" s="1"/>
  <c r="W49"/>
  <c r="V49"/>
  <c r="U49"/>
  <c r="T49"/>
  <c r="T42" s="1"/>
  <c r="R49"/>
  <c r="P49"/>
  <c r="P42" s="1"/>
  <c r="O49"/>
  <c r="M49"/>
  <c r="L49"/>
  <c r="L42" s="1"/>
  <c r="K49"/>
  <c r="J49"/>
  <c r="I49"/>
  <c r="H49"/>
  <c r="G49"/>
  <c r="E49"/>
  <c r="T48"/>
  <c r="S48"/>
  <c r="Q48"/>
  <c r="Q47" s="1"/>
  <c r="N48"/>
  <c r="N47" s="1"/>
  <c r="H48"/>
  <c r="F48"/>
  <c r="W47"/>
  <c r="V47"/>
  <c r="U47"/>
  <c r="T47"/>
  <c r="S47"/>
  <c r="R47"/>
  <c r="P47"/>
  <c r="O47"/>
  <c r="M47"/>
  <c r="L47"/>
  <c r="K47"/>
  <c r="J47"/>
  <c r="I47"/>
  <c r="H47"/>
  <c r="G47"/>
  <c r="F47"/>
  <c r="E47"/>
  <c r="S46"/>
  <c r="X46" s="1"/>
  <c r="W45"/>
  <c r="V45"/>
  <c r="V42" s="1"/>
  <c r="U45"/>
  <c r="T45"/>
  <c r="R45"/>
  <c r="Q45"/>
  <c r="P45"/>
  <c r="O45"/>
  <c r="N45"/>
  <c r="M45"/>
  <c r="M42" s="1"/>
  <c r="L45"/>
  <c r="K45"/>
  <c r="J45"/>
  <c r="J42" s="1"/>
  <c r="I45"/>
  <c r="I42" s="1"/>
  <c r="H45"/>
  <c r="G45"/>
  <c r="F45"/>
  <c r="E45"/>
  <c r="S44"/>
  <c r="H44"/>
  <c r="X44" s="1"/>
  <c r="X43"/>
  <c r="U43"/>
  <c r="W42"/>
  <c r="O42"/>
  <c r="G42"/>
  <c r="X41"/>
  <c r="W40"/>
  <c r="V40"/>
  <c r="U40"/>
  <c r="T40"/>
  <c r="S40"/>
  <c r="R40"/>
  <c r="Q40"/>
  <c r="P40"/>
  <c r="O40"/>
  <c r="N40"/>
  <c r="M40"/>
  <c r="L40"/>
  <c r="K40"/>
  <c r="J40"/>
  <c r="I40"/>
  <c r="H40"/>
  <c r="X40" s="1"/>
  <c r="G40"/>
  <c r="F40"/>
  <c r="E40"/>
  <c r="X39"/>
  <c r="R39"/>
  <c r="F39"/>
  <c r="W38"/>
  <c r="W31" s="1"/>
  <c r="V38"/>
  <c r="U38"/>
  <c r="T38"/>
  <c r="S38"/>
  <c r="S31" s="1"/>
  <c r="R38"/>
  <c r="Q38"/>
  <c r="P38"/>
  <c r="O38"/>
  <c r="O31" s="1"/>
  <c r="N38"/>
  <c r="M38"/>
  <c r="L38"/>
  <c r="K38"/>
  <c r="K31" s="1"/>
  <c r="J38"/>
  <c r="I38"/>
  <c r="H38"/>
  <c r="G38"/>
  <c r="X38" s="1"/>
  <c r="F38"/>
  <c r="E38"/>
  <c r="E37"/>
  <c r="X37" s="1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X36" s="1"/>
  <c r="X35"/>
  <c r="X34"/>
  <c r="X33"/>
  <c r="W32"/>
  <c r="V32"/>
  <c r="U32"/>
  <c r="T32"/>
  <c r="T31" s="1"/>
  <c r="S32"/>
  <c r="R32"/>
  <c r="Q32"/>
  <c r="P32"/>
  <c r="P31" s="1"/>
  <c r="O32"/>
  <c r="N32"/>
  <c r="M32"/>
  <c r="L32"/>
  <c r="L31" s="1"/>
  <c r="K32"/>
  <c r="J32"/>
  <c r="I32"/>
  <c r="H32"/>
  <c r="H31" s="1"/>
  <c r="G32"/>
  <c r="F32"/>
  <c r="E32"/>
  <c r="V31"/>
  <c r="U31"/>
  <c r="R31"/>
  <c r="Q31"/>
  <c r="N31"/>
  <c r="M31"/>
  <c r="J31"/>
  <c r="I31"/>
  <c r="F31"/>
  <c r="E31"/>
  <c r="X30"/>
  <c r="U29"/>
  <c r="U54" s="1"/>
  <c r="R29"/>
  <c r="F29"/>
  <c r="E29"/>
  <c r="X29" s="1"/>
  <c r="R28"/>
  <c r="R27" s="1"/>
  <c r="N28"/>
  <c r="F28"/>
  <c r="E28"/>
  <c r="X28" s="1"/>
  <c r="W27"/>
  <c r="V27"/>
  <c r="U27"/>
  <c r="T27"/>
  <c r="S27"/>
  <c r="Q27"/>
  <c r="P27"/>
  <c r="O27"/>
  <c r="N27"/>
  <c r="M27"/>
  <c r="L27"/>
  <c r="K27"/>
  <c r="J27"/>
  <c r="I27"/>
  <c r="H27"/>
  <c r="X27" s="1"/>
  <c r="G27"/>
  <c r="F27"/>
  <c r="E27"/>
  <c r="R26"/>
  <c r="N26"/>
  <c r="F26"/>
  <c r="E26"/>
  <c r="X26" s="1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X25" s="1"/>
  <c r="X24"/>
  <c r="N23"/>
  <c r="F23"/>
  <c r="F22" s="1"/>
  <c r="F20" s="1"/>
  <c r="W22"/>
  <c r="V22"/>
  <c r="U22"/>
  <c r="U20" s="1"/>
  <c r="T22"/>
  <c r="S22"/>
  <c r="R22"/>
  <c r="Q22"/>
  <c r="Q20" s="1"/>
  <c r="P22"/>
  <c r="O22"/>
  <c r="N22"/>
  <c r="M22"/>
  <c r="M20" s="1"/>
  <c r="L22"/>
  <c r="K22"/>
  <c r="J22"/>
  <c r="I22"/>
  <c r="I20" s="1"/>
  <c r="H22"/>
  <c r="G22"/>
  <c r="E22"/>
  <c r="R21"/>
  <c r="N21"/>
  <c r="F21"/>
  <c r="E21"/>
  <c r="X21" s="1"/>
  <c r="W20"/>
  <c r="V20"/>
  <c r="T20"/>
  <c r="S20"/>
  <c r="R20"/>
  <c r="P20"/>
  <c r="O20"/>
  <c r="N20"/>
  <c r="L20"/>
  <c r="K20"/>
  <c r="J20"/>
  <c r="H20"/>
  <c r="G20"/>
  <c r="N19"/>
  <c r="X19" s="1"/>
  <c r="Q18"/>
  <c r="M18"/>
  <c r="F18"/>
  <c r="E18"/>
  <c r="E15" s="1"/>
  <c r="H17"/>
  <c r="X17" s="1"/>
  <c r="U15"/>
  <c r="M15"/>
  <c r="X16"/>
  <c r="W15"/>
  <c r="W4" s="1"/>
  <c r="W80" s="1"/>
  <c r="V15"/>
  <c r="T15"/>
  <c r="S15"/>
  <c r="S4" s="1"/>
  <c r="S80" s="1"/>
  <c r="R15"/>
  <c r="Q15"/>
  <c r="P15"/>
  <c r="O15"/>
  <c r="O4" s="1"/>
  <c r="O80" s="1"/>
  <c r="N15"/>
  <c r="L15"/>
  <c r="K15"/>
  <c r="J15"/>
  <c r="I15"/>
  <c r="G15"/>
  <c r="F15"/>
  <c r="R14"/>
  <c r="N14"/>
  <c r="N55" s="1"/>
  <c r="N54" s="1"/>
  <c r="F14"/>
  <c r="E14"/>
  <c r="X14" s="1"/>
  <c r="R13"/>
  <c r="R12" s="1"/>
  <c r="R4" s="1"/>
  <c r="N13"/>
  <c r="F13"/>
  <c r="E13"/>
  <c r="X13" s="1"/>
  <c r="W12"/>
  <c r="V12"/>
  <c r="U12"/>
  <c r="T12"/>
  <c r="S12"/>
  <c r="Q12"/>
  <c r="P12"/>
  <c r="O12"/>
  <c r="M12"/>
  <c r="L12"/>
  <c r="K12"/>
  <c r="J12"/>
  <c r="I12"/>
  <c r="H12"/>
  <c r="G12"/>
  <c r="F12"/>
  <c r="E12"/>
  <c r="R11"/>
  <c r="N11"/>
  <c r="F11"/>
  <c r="E11"/>
  <c r="X11" s="1"/>
  <c r="W10"/>
  <c r="V10"/>
  <c r="U10"/>
  <c r="T10"/>
  <c r="S10"/>
  <c r="R10"/>
  <c r="Q10"/>
  <c r="P10"/>
  <c r="O10"/>
  <c r="N10"/>
  <c r="M10"/>
  <c r="L10"/>
  <c r="K10"/>
  <c r="J10"/>
  <c r="I10"/>
  <c r="H10"/>
  <c r="G10"/>
  <c r="F10"/>
  <c r="E10"/>
  <c r="X10" s="1"/>
  <c r="R9"/>
  <c r="F9"/>
  <c r="E9"/>
  <c r="X9" s="1"/>
  <c r="W8"/>
  <c r="V8"/>
  <c r="U8"/>
  <c r="T8"/>
  <c r="S8"/>
  <c r="R8"/>
  <c r="Q8"/>
  <c r="P8"/>
  <c r="O8"/>
  <c r="N8"/>
  <c r="M8"/>
  <c r="L8"/>
  <c r="K8"/>
  <c r="J8"/>
  <c r="I8"/>
  <c r="H8"/>
  <c r="G8"/>
  <c r="F8"/>
  <c r="E8"/>
  <c r="X8" s="1"/>
  <c r="R7"/>
  <c r="E7"/>
  <c r="X7" s="1"/>
  <c r="X6"/>
  <c r="U6"/>
  <c r="R6"/>
  <c r="E6"/>
  <c r="W5"/>
  <c r="V5"/>
  <c r="U5"/>
  <c r="T5"/>
  <c r="T4" s="1"/>
  <c r="S5"/>
  <c r="R5"/>
  <c r="Q5"/>
  <c r="P5"/>
  <c r="P4" s="1"/>
  <c r="O5"/>
  <c r="N5"/>
  <c r="M5"/>
  <c r="L5"/>
  <c r="K5"/>
  <c r="J5"/>
  <c r="I5"/>
  <c r="H5"/>
  <c r="G5"/>
  <c r="F5"/>
  <c r="E5"/>
  <c r="V4"/>
  <c r="V80" s="1"/>
  <c r="K4"/>
  <c r="K80" s="1"/>
  <c r="J4"/>
  <c r="J80" s="1"/>
  <c r="G4"/>
  <c r="G80" s="1"/>
  <c r="G34" i="50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  <c r="W3" i="54" l="1"/>
  <c r="I4"/>
  <c r="V3"/>
  <c r="Q4"/>
  <c r="Q3" s="1"/>
  <c r="O3"/>
  <c r="L4"/>
  <c r="L3" s="1"/>
  <c r="J3"/>
  <c r="F4"/>
  <c r="F80" s="1"/>
  <c r="R80"/>
  <c r="R3"/>
  <c r="I80"/>
  <c r="I3"/>
  <c r="Q80"/>
  <c r="L80"/>
  <c r="P80"/>
  <c r="P3"/>
  <c r="T80"/>
  <c r="T3"/>
  <c r="X51"/>
  <c r="X12"/>
  <c r="X55"/>
  <c r="X58"/>
  <c r="U4"/>
  <c r="X22"/>
  <c r="U42"/>
  <c r="Q42"/>
  <c r="H42"/>
  <c r="M4"/>
  <c r="N42"/>
  <c r="R42"/>
  <c r="X47"/>
  <c r="N12"/>
  <c r="N4" s="1"/>
  <c r="H15"/>
  <c r="X15" s="1"/>
  <c r="X23"/>
  <c r="G31"/>
  <c r="G3" s="1"/>
  <c r="E42"/>
  <c r="S45"/>
  <c r="S42" s="1"/>
  <c r="S3" s="1"/>
  <c r="F49"/>
  <c r="X49" s="1"/>
  <c r="X61"/>
  <c r="F51"/>
  <c r="K54"/>
  <c r="K42" s="1"/>
  <c r="K3" s="1"/>
  <c r="X5"/>
  <c r="X18"/>
  <c r="X32"/>
  <c r="X48"/>
  <c r="E20"/>
  <c r="X20" s="1"/>
  <c r="G35" i="50"/>
  <c r="U80" i="54" l="1"/>
  <c r="U3"/>
  <c r="N80"/>
  <c r="N3"/>
  <c r="X45"/>
  <c r="H4"/>
  <c r="E4"/>
  <c r="X54"/>
  <c r="F42"/>
  <c r="F3" s="1"/>
  <c r="X31"/>
  <c r="Z31" s="1"/>
  <c r="M80"/>
  <c r="M3"/>
  <c r="N11" i="49"/>
  <c r="M4"/>
  <c r="M5"/>
  <c r="M6"/>
  <c r="M7"/>
  <c r="M8"/>
  <c r="M9"/>
  <c r="M10"/>
  <c r="M3"/>
  <c r="L11"/>
  <c r="K11"/>
  <c r="G11"/>
  <c r="H11"/>
  <c r="I11"/>
  <c r="F11"/>
  <c r="M11" l="1"/>
  <c r="O11"/>
  <c r="X42" i="54"/>
  <c r="H80"/>
  <c r="H3"/>
  <c r="E80"/>
  <c r="X4"/>
  <c r="E3"/>
  <c r="X3" l="1"/>
  <c r="Z3" s="1"/>
  <c r="Z42"/>
  <c r="Z4"/>
  <c r="X80"/>
  <c r="H7" i="47"/>
  <c r="H6"/>
  <c r="H5"/>
  <c r="H4"/>
  <c r="H3"/>
  <c r="H3" i="46"/>
  <c r="H4"/>
  <c r="H8" s="1"/>
  <c r="H5"/>
  <c r="H6"/>
  <c r="H7"/>
  <c r="H8" i="47" l="1"/>
  <c r="I27" i="45" l="1"/>
  <c r="I28"/>
  <c r="I29"/>
  <c r="I30"/>
  <c r="I31"/>
  <c r="I32"/>
  <c r="I33"/>
  <c r="I34"/>
  <c r="I35"/>
  <c r="I36"/>
  <c r="I37"/>
  <c r="I38"/>
  <c r="I25"/>
  <c r="I26"/>
  <c r="I24"/>
  <c r="I21" l="1"/>
  <c r="I20"/>
  <c r="I40" l="1"/>
  <c r="I41"/>
  <c r="I42"/>
  <c r="I43"/>
  <c r="I44"/>
  <c r="I45"/>
  <c r="I46"/>
  <c r="I47"/>
  <c r="I48"/>
  <c r="I49"/>
  <c r="I50"/>
  <c r="I51"/>
  <c r="I39"/>
  <c r="I12" l="1"/>
  <c r="I11"/>
  <c r="I10"/>
  <c r="I9"/>
  <c r="I8"/>
  <c r="I7"/>
  <c r="I6"/>
  <c r="I5"/>
  <c r="I4"/>
  <c r="I52" l="1"/>
  <c r="K384" i="44"/>
  <c r="K383"/>
  <c r="K382"/>
  <c r="K381"/>
  <c r="K380"/>
  <c r="K379"/>
  <c r="K378"/>
  <c r="K377"/>
  <c r="K376"/>
  <c r="K375"/>
  <c r="K374"/>
  <c r="K373"/>
  <c r="K372"/>
  <c r="K371"/>
  <c r="K370"/>
  <c r="K369"/>
  <c r="K367"/>
  <c r="K366"/>
  <c r="K365"/>
  <c r="K364"/>
  <c r="K363"/>
  <c r="K361"/>
  <c r="K360"/>
  <c r="K359"/>
  <c r="K358"/>
  <c r="K357"/>
  <c r="K356"/>
  <c r="K353"/>
  <c r="K352"/>
  <c r="K351"/>
  <c r="K350"/>
  <c r="K349"/>
  <c r="K348"/>
  <c r="K347"/>
  <c r="K346"/>
  <c r="K344" s="1"/>
  <c r="K345"/>
  <c r="K343"/>
  <c r="K342"/>
  <c r="K341"/>
  <c r="K340"/>
  <c r="K339"/>
  <c r="K337"/>
  <c r="K336"/>
  <c r="K335"/>
  <c r="K334"/>
  <c r="K333"/>
  <c r="K332"/>
  <c r="K331"/>
  <c r="K330"/>
  <c r="K327"/>
  <c r="K326"/>
  <c r="K325"/>
  <c r="K324"/>
  <c r="K323"/>
  <c r="K322"/>
  <c r="K321"/>
  <c r="K320"/>
  <c r="K319"/>
  <c r="K316"/>
  <c r="K315"/>
  <c r="K314"/>
  <c r="K313"/>
  <c r="K312"/>
  <c r="K311"/>
  <c r="K310"/>
  <c r="K309"/>
  <c r="K308"/>
  <c r="K307"/>
  <c r="K306"/>
  <c r="K305"/>
  <c r="K304"/>
  <c r="K303"/>
  <c r="K302"/>
  <c r="K301"/>
  <c r="K299"/>
  <c r="K298"/>
  <c r="K297"/>
  <c r="K296"/>
  <c r="K295"/>
  <c r="K294"/>
  <c r="K293"/>
  <c r="K292"/>
  <c r="K291"/>
  <c r="K290"/>
  <c r="K289"/>
  <c r="K288"/>
  <c r="K287"/>
  <c r="K285"/>
  <c r="K284"/>
  <c r="K283"/>
  <c r="K282"/>
  <c r="K281"/>
  <c r="K280"/>
  <c r="K279"/>
  <c r="K278"/>
  <c r="K277"/>
  <c r="K276"/>
  <c r="K275"/>
  <c r="K274"/>
  <c r="K273"/>
  <c r="K271"/>
  <c r="K270"/>
  <c r="K269"/>
  <c r="K268"/>
  <c r="K267"/>
  <c r="K266"/>
  <c r="K265"/>
  <c r="K264"/>
  <c r="K263"/>
  <c r="K262"/>
  <c r="K261"/>
  <c r="K260"/>
  <c r="K259"/>
  <c r="K258"/>
  <c r="K255" s="1"/>
  <c r="K257"/>
  <c r="K256"/>
  <c r="K254"/>
  <c r="K253"/>
  <c r="K252"/>
  <c r="K251"/>
  <c r="K250"/>
  <c r="K249"/>
  <c r="K248"/>
  <c r="K247"/>
  <c r="K246"/>
  <c r="K245"/>
  <c r="K244"/>
  <c r="K243"/>
  <c r="K242"/>
  <c r="K241"/>
  <c r="K240"/>
  <c r="K239"/>
  <c r="K237"/>
  <c r="K236"/>
  <c r="K235"/>
  <c r="K234"/>
  <c r="K233"/>
  <c r="K232"/>
  <c r="K230"/>
  <c r="K229"/>
  <c r="K228"/>
  <c r="K227"/>
  <c r="K226"/>
  <c r="K225"/>
  <c r="K224"/>
  <c r="K223"/>
  <c r="K222"/>
  <c r="K220"/>
  <c r="K219"/>
  <c r="K218"/>
  <c r="K217"/>
  <c r="K216"/>
  <c r="K215"/>
  <c r="K214"/>
  <c r="K213"/>
  <c r="K212"/>
  <c r="K210"/>
  <c r="K209"/>
  <c r="K208"/>
  <c r="K207"/>
  <c r="K206"/>
  <c r="K205"/>
  <c r="K204"/>
  <c r="K203"/>
  <c r="K202"/>
  <c r="K200"/>
  <c r="K199"/>
  <c r="K198"/>
  <c r="K197"/>
  <c r="K196"/>
  <c r="K195" s="1"/>
  <c r="K194"/>
  <c r="K193"/>
  <c r="K192"/>
  <c r="K191"/>
  <c r="K190"/>
  <c r="K188"/>
  <c r="K187"/>
  <c r="K186"/>
  <c r="K185"/>
  <c r="K184"/>
  <c r="K183"/>
  <c r="K182"/>
  <c r="K181"/>
  <c r="K179"/>
  <c r="K178"/>
  <c r="K177"/>
  <c r="K176"/>
  <c r="K175"/>
  <c r="K174"/>
  <c r="K173"/>
  <c r="K170"/>
  <c r="K169"/>
  <c r="K168"/>
  <c r="K167"/>
  <c r="K166"/>
  <c r="K165"/>
  <c r="K164"/>
  <c r="K163"/>
  <c r="K162"/>
  <c r="K161"/>
  <c r="K160"/>
  <c r="K159"/>
  <c r="K157"/>
  <c r="K156"/>
  <c r="K155"/>
  <c r="K154"/>
  <c r="K153"/>
  <c r="K151"/>
  <c r="K150"/>
  <c r="K149"/>
  <c r="K148"/>
  <c r="K147"/>
  <c r="K146" s="1"/>
  <c r="K145"/>
  <c r="K144"/>
  <c r="K143"/>
  <c r="K142"/>
  <c r="K141"/>
  <c r="K138"/>
  <c r="K137"/>
  <c r="K136"/>
  <c r="K134"/>
  <c r="K133"/>
  <c r="K132"/>
  <c r="K131"/>
  <c r="K130"/>
  <c r="K129"/>
  <c r="K126"/>
  <c r="K125"/>
  <c r="K124"/>
  <c r="K123" s="1"/>
  <c r="K122"/>
  <c r="K121"/>
  <c r="K120"/>
  <c r="K119"/>
  <c r="K118"/>
  <c r="K115"/>
  <c r="K114"/>
  <c r="K113"/>
  <c r="K112"/>
  <c r="K111"/>
  <c r="K110"/>
  <c r="K109"/>
  <c r="K108"/>
  <c r="K107"/>
  <c r="K106"/>
  <c r="K105"/>
  <c r="K104"/>
  <c r="K103"/>
  <c r="K101"/>
  <c r="K100"/>
  <c r="K99"/>
  <c r="K98"/>
  <c r="K97"/>
  <c r="K96"/>
  <c r="K95"/>
  <c r="K94"/>
  <c r="K93"/>
  <c r="K92"/>
  <c r="K91"/>
  <c r="K90"/>
  <c r="K89"/>
  <c r="K87"/>
  <c r="K86"/>
  <c r="K85"/>
  <c r="K84"/>
  <c r="K83"/>
  <c r="K82"/>
  <c r="K81"/>
  <c r="K80"/>
  <c r="K79"/>
  <c r="K78"/>
  <c r="K77"/>
  <c r="K76"/>
  <c r="K75"/>
  <c r="K73"/>
  <c r="K72"/>
  <c r="K71"/>
  <c r="K70"/>
  <c r="K69"/>
  <c r="K67"/>
  <c r="K66"/>
  <c r="K65"/>
  <c r="K64"/>
  <c r="K63"/>
  <c r="K62"/>
  <c r="K61"/>
  <c r="K60"/>
  <c r="K58"/>
  <c r="K57"/>
  <c r="K56"/>
  <c r="K55"/>
  <c r="K54"/>
  <c r="K52"/>
  <c r="K51"/>
  <c r="K50"/>
  <c r="K48"/>
  <c r="K47"/>
  <c r="K46"/>
  <c r="K45"/>
  <c r="K44"/>
  <c r="K42"/>
  <c r="K41"/>
  <c r="K40"/>
  <c r="K39"/>
  <c r="K37"/>
  <c r="K36"/>
  <c r="K35"/>
  <c r="K34"/>
  <c r="K33"/>
  <c r="K32"/>
  <c r="K31"/>
  <c r="K30"/>
  <c r="K27"/>
  <c r="K26"/>
  <c r="K25"/>
  <c r="K24"/>
  <c r="K23"/>
  <c r="K22"/>
  <c r="K21"/>
  <c r="K20"/>
  <c r="K19"/>
  <c r="K18"/>
  <c r="K17"/>
  <c r="K16"/>
  <c r="K14"/>
  <c r="K13"/>
  <c r="K12"/>
  <c r="K11"/>
  <c r="K9"/>
  <c r="K8"/>
  <c r="K7"/>
  <c r="K6"/>
  <c r="AQ119" i="43"/>
  <c r="AQ118"/>
  <c r="AQ103"/>
  <c r="AQ98"/>
  <c r="AQ91"/>
  <c r="AQ71"/>
  <c r="AQ52"/>
  <c r="AQ33"/>
  <c r="AQ21"/>
  <c r="AQ13"/>
  <c r="AQ5"/>
  <c r="AQ6"/>
  <c r="AQ7"/>
  <c r="AQ8"/>
  <c r="AQ9"/>
  <c r="AQ10"/>
  <c r="AQ11"/>
  <c r="AQ12"/>
  <c r="AQ14"/>
  <c r="AQ15"/>
  <c r="AQ16"/>
  <c r="AQ17"/>
  <c r="AQ18"/>
  <c r="AQ19"/>
  <c r="AQ20"/>
  <c r="AQ22"/>
  <c r="AQ23"/>
  <c r="AQ24"/>
  <c r="AQ25"/>
  <c r="AQ26"/>
  <c r="AQ27"/>
  <c r="AQ28"/>
  <c r="AQ29"/>
  <c r="AQ30"/>
  <c r="AQ31"/>
  <c r="AQ32"/>
  <c r="AQ34"/>
  <c r="AQ35"/>
  <c r="AQ36"/>
  <c r="AQ37"/>
  <c r="AQ38"/>
  <c r="AQ39"/>
  <c r="AQ40"/>
  <c r="AQ41"/>
  <c r="AQ42"/>
  <c r="AQ43"/>
  <c r="AQ44"/>
  <c r="AQ45"/>
  <c r="AQ46"/>
  <c r="AQ47"/>
  <c r="AQ48"/>
  <c r="AQ49"/>
  <c r="AQ50"/>
  <c r="AQ51"/>
  <c r="AQ53"/>
  <c r="AQ54"/>
  <c r="AQ55"/>
  <c r="AQ56"/>
  <c r="AQ57"/>
  <c r="AQ58"/>
  <c r="AQ59"/>
  <c r="AQ60"/>
  <c r="AQ61"/>
  <c r="AQ62"/>
  <c r="AQ63"/>
  <c r="AQ64"/>
  <c r="AQ65"/>
  <c r="AQ66"/>
  <c r="AQ67"/>
  <c r="AQ68"/>
  <c r="AQ69"/>
  <c r="AQ70"/>
  <c r="AQ72"/>
  <c r="AQ73"/>
  <c r="AQ74"/>
  <c r="AQ75"/>
  <c r="AQ76"/>
  <c r="AQ77"/>
  <c r="AQ78"/>
  <c r="AQ79"/>
  <c r="AQ80"/>
  <c r="AQ81"/>
  <c r="AQ82"/>
  <c r="AQ83"/>
  <c r="AQ84"/>
  <c r="AQ85"/>
  <c r="AQ86"/>
  <c r="AQ87"/>
  <c r="AQ88"/>
  <c r="AQ89"/>
  <c r="AQ90"/>
  <c r="AQ92"/>
  <c r="AQ93"/>
  <c r="AQ94"/>
  <c r="AQ95"/>
  <c r="AQ96"/>
  <c r="AQ97"/>
  <c r="AQ99"/>
  <c r="AQ100"/>
  <c r="AQ101"/>
  <c r="AQ102"/>
  <c r="AQ104"/>
  <c r="AQ105"/>
  <c r="AQ106"/>
  <c r="AQ107"/>
  <c r="AQ108"/>
  <c r="AQ109"/>
  <c r="AQ110"/>
  <c r="AQ111"/>
  <c r="AQ112"/>
  <c r="AQ113"/>
  <c r="AQ114"/>
  <c r="AQ115"/>
  <c r="AQ116"/>
  <c r="AQ117"/>
  <c r="AQ4"/>
  <c r="AO118"/>
  <c r="AB118"/>
  <c r="AA118"/>
  <c r="Z118"/>
  <c r="Y118"/>
  <c r="W118"/>
  <c r="V118"/>
  <c r="U118"/>
  <c r="T118"/>
  <c r="M118"/>
  <c r="L118"/>
  <c r="K118"/>
  <c r="J118"/>
  <c r="H118"/>
  <c r="G118"/>
  <c r="F118"/>
  <c r="E118"/>
  <c r="D118"/>
  <c r="AJ117"/>
  <c r="AI117"/>
  <c r="AH117"/>
  <c r="AF117"/>
  <c r="AE117"/>
  <c r="AD117"/>
  <c r="AL117" s="1"/>
  <c r="AC117"/>
  <c r="AK117" s="1"/>
  <c r="X117"/>
  <c r="R117"/>
  <c r="Q117"/>
  <c r="P117"/>
  <c r="O117"/>
  <c r="S117" s="1"/>
  <c r="N117"/>
  <c r="I117"/>
  <c r="AJ116"/>
  <c r="AD116"/>
  <c r="AC116"/>
  <c r="AH116" s="1"/>
  <c r="X116"/>
  <c r="R116"/>
  <c r="Q116"/>
  <c r="P116"/>
  <c r="O116"/>
  <c r="S116" s="1"/>
  <c r="N116"/>
  <c r="I116"/>
  <c r="AJ115"/>
  <c r="AH115"/>
  <c r="AD115"/>
  <c r="AC115"/>
  <c r="AI115" s="1"/>
  <c r="X115"/>
  <c r="R115"/>
  <c r="Q115"/>
  <c r="P115"/>
  <c r="O115"/>
  <c r="S115" s="1"/>
  <c r="N115"/>
  <c r="I115"/>
  <c r="AJ114"/>
  <c r="AI114"/>
  <c r="AH114"/>
  <c r="AE114"/>
  <c r="AD114"/>
  <c r="AL114" s="1"/>
  <c r="AC114"/>
  <c r="AF114" s="1"/>
  <c r="X114"/>
  <c r="R114"/>
  <c r="Q114"/>
  <c r="P114"/>
  <c r="O114"/>
  <c r="S114" s="1"/>
  <c r="N114"/>
  <c r="I114"/>
  <c r="AJ113"/>
  <c r="AI113"/>
  <c r="AH113"/>
  <c r="AF113"/>
  <c r="AE113"/>
  <c r="AD113"/>
  <c r="AL113" s="1"/>
  <c r="AC113"/>
  <c r="AK113" s="1"/>
  <c r="X113"/>
  <c r="R113"/>
  <c r="Q113"/>
  <c r="P113"/>
  <c r="O113"/>
  <c r="S113" s="1"/>
  <c r="N113"/>
  <c r="I113"/>
  <c r="AJ112"/>
  <c r="AD112"/>
  <c r="AC112"/>
  <c r="AH112" s="1"/>
  <c r="X112"/>
  <c r="R112"/>
  <c r="Q112"/>
  <c r="P112"/>
  <c r="O112"/>
  <c r="S112" s="1"/>
  <c r="N112"/>
  <c r="I112"/>
  <c r="AJ111"/>
  <c r="AH111"/>
  <c r="AD111"/>
  <c r="AC111"/>
  <c r="AI111" s="1"/>
  <c r="X111"/>
  <c r="R111"/>
  <c r="Q111"/>
  <c r="P111"/>
  <c r="O111"/>
  <c r="S111" s="1"/>
  <c r="N111"/>
  <c r="I111"/>
  <c r="AJ110"/>
  <c r="AI110"/>
  <c r="AH110"/>
  <c r="AE110"/>
  <c r="AD110"/>
  <c r="AL110" s="1"/>
  <c r="AC110"/>
  <c r="AF110" s="1"/>
  <c r="X110"/>
  <c r="R110"/>
  <c r="Q110"/>
  <c r="P110"/>
  <c r="O110"/>
  <c r="S110" s="1"/>
  <c r="N110"/>
  <c r="I110"/>
  <c r="AJ109"/>
  <c r="AI109"/>
  <c r="AH109"/>
  <c r="AF109"/>
  <c r="AE109"/>
  <c r="AD109"/>
  <c r="AL109" s="1"/>
  <c r="AC109"/>
  <c r="AK109" s="1"/>
  <c r="X109"/>
  <c r="R109"/>
  <c r="Q109"/>
  <c r="P109"/>
  <c r="O109"/>
  <c r="S109" s="1"/>
  <c r="N109"/>
  <c r="I109"/>
  <c r="AJ108"/>
  <c r="AD108"/>
  <c r="AC108"/>
  <c r="AH108" s="1"/>
  <c r="X108"/>
  <c r="R108"/>
  <c r="Q108"/>
  <c r="P108"/>
  <c r="O108"/>
  <c r="S108" s="1"/>
  <c r="N108"/>
  <c r="I108"/>
  <c r="AJ107"/>
  <c r="AH107"/>
  <c r="AD107"/>
  <c r="AC107"/>
  <c r="AI107" s="1"/>
  <c r="X107"/>
  <c r="R107"/>
  <c r="Q107"/>
  <c r="P107"/>
  <c r="O107"/>
  <c r="S107" s="1"/>
  <c r="N107"/>
  <c r="I107"/>
  <c r="AJ106"/>
  <c r="AI106"/>
  <c r="AH106"/>
  <c r="AE106"/>
  <c r="AD106"/>
  <c r="AL106" s="1"/>
  <c r="AC106"/>
  <c r="AF106" s="1"/>
  <c r="X106"/>
  <c r="R106"/>
  <c r="Q106"/>
  <c r="P106"/>
  <c r="O106"/>
  <c r="S106" s="1"/>
  <c r="N106"/>
  <c r="I106"/>
  <c r="AJ105"/>
  <c r="AI105"/>
  <c r="AH105"/>
  <c r="AF105"/>
  <c r="AE105"/>
  <c r="AD105"/>
  <c r="AL105" s="1"/>
  <c r="AC105"/>
  <c r="AK105" s="1"/>
  <c r="X105"/>
  <c r="R105"/>
  <c r="R118" s="1"/>
  <c r="Q105"/>
  <c r="P105"/>
  <c r="O105"/>
  <c r="S105" s="1"/>
  <c r="N105"/>
  <c r="N118" s="1"/>
  <c r="I105"/>
  <c r="AJ104"/>
  <c r="AJ118" s="1"/>
  <c r="AD104"/>
  <c r="AC104"/>
  <c r="AH104" s="1"/>
  <c r="AH118" s="1"/>
  <c r="X104"/>
  <c r="X118" s="1"/>
  <c r="R104"/>
  <c r="Q104"/>
  <c r="Q118" s="1"/>
  <c r="P104"/>
  <c r="P118" s="1"/>
  <c r="O104"/>
  <c r="O118" s="1"/>
  <c r="N104"/>
  <c r="I104"/>
  <c r="I118" s="1"/>
  <c r="AO103"/>
  <c r="AB103"/>
  <c r="AA103"/>
  <c r="Z103"/>
  <c r="Y103"/>
  <c r="W103"/>
  <c r="V103"/>
  <c r="U103"/>
  <c r="T103"/>
  <c r="M103"/>
  <c r="L103"/>
  <c r="K103"/>
  <c r="J103"/>
  <c r="H103"/>
  <c r="G103"/>
  <c r="F103"/>
  <c r="E103"/>
  <c r="D103"/>
  <c r="AJ102"/>
  <c r="AD102"/>
  <c r="AC102"/>
  <c r="AH102" s="1"/>
  <c r="X102"/>
  <c r="R102"/>
  <c r="Q102"/>
  <c r="P102"/>
  <c r="O102"/>
  <c r="S102" s="1"/>
  <c r="N102"/>
  <c r="I102"/>
  <c r="AJ101"/>
  <c r="AH101"/>
  <c r="AD101"/>
  <c r="AC101"/>
  <c r="AI101" s="1"/>
  <c r="X101"/>
  <c r="R101"/>
  <c r="Q101"/>
  <c r="P101"/>
  <c r="O101"/>
  <c r="S101" s="1"/>
  <c r="N101"/>
  <c r="I101"/>
  <c r="AJ100"/>
  <c r="AI100"/>
  <c r="AH100"/>
  <c r="AE100"/>
  <c r="AD100"/>
  <c r="AD103" s="1"/>
  <c r="AC100"/>
  <c r="AF100" s="1"/>
  <c r="X100"/>
  <c r="R100"/>
  <c r="R103" s="1"/>
  <c r="Q100"/>
  <c r="Q103" s="1"/>
  <c r="P100"/>
  <c r="O100"/>
  <c r="S100" s="1"/>
  <c r="N100"/>
  <c r="N103" s="1"/>
  <c r="I100"/>
  <c r="I103" s="1"/>
  <c r="AJ99"/>
  <c r="AJ103" s="1"/>
  <c r="AI99"/>
  <c r="AH99"/>
  <c r="AF99"/>
  <c r="AE99"/>
  <c r="AD99"/>
  <c r="AL99" s="1"/>
  <c r="AC99"/>
  <c r="AK99" s="1"/>
  <c r="X99"/>
  <c r="X103" s="1"/>
  <c r="R99"/>
  <c r="Q99"/>
  <c r="P99"/>
  <c r="P103" s="1"/>
  <c r="O99"/>
  <c r="S99" s="1"/>
  <c r="N99"/>
  <c r="I99"/>
  <c r="AO98"/>
  <c r="AB98"/>
  <c r="AA98"/>
  <c r="Z98"/>
  <c r="Y98"/>
  <c r="W98"/>
  <c r="V98"/>
  <c r="U98"/>
  <c r="T98"/>
  <c r="M98"/>
  <c r="L98"/>
  <c r="K98"/>
  <c r="J98"/>
  <c r="H98"/>
  <c r="G98"/>
  <c r="F98"/>
  <c r="E98"/>
  <c r="D98"/>
  <c r="AJ97"/>
  <c r="AI97"/>
  <c r="AH97"/>
  <c r="AF97"/>
  <c r="AE97"/>
  <c r="AD97"/>
  <c r="AL97" s="1"/>
  <c r="AC97"/>
  <c r="AK97" s="1"/>
  <c r="X97"/>
  <c r="R97"/>
  <c r="Q97"/>
  <c r="P97"/>
  <c r="O97"/>
  <c r="S97" s="1"/>
  <c r="N97"/>
  <c r="I97"/>
  <c r="AJ96"/>
  <c r="AD96"/>
  <c r="AC96"/>
  <c r="AH96" s="1"/>
  <c r="X96"/>
  <c r="R96"/>
  <c r="Q96"/>
  <c r="P96"/>
  <c r="O96"/>
  <c r="S96" s="1"/>
  <c r="N96"/>
  <c r="I96"/>
  <c r="AJ95"/>
  <c r="AH95"/>
  <c r="AD95"/>
  <c r="AC95"/>
  <c r="AI95" s="1"/>
  <c r="X95"/>
  <c r="R95"/>
  <c r="Q95"/>
  <c r="P95"/>
  <c r="O95"/>
  <c r="S95" s="1"/>
  <c r="N95"/>
  <c r="I95"/>
  <c r="AJ94"/>
  <c r="AI94"/>
  <c r="AH94"/>
  <c r="AE94"/>
  <c r="AD94"/>
  <c r="AL94" s="1"/>
  <c r="AC94"/>
  <c r="AF94" s="1"/>
  <c r="X94"/>
  <c r="R94"/>
  <c r="R98" s="1"/>
  <c r="Q94"/>
  <c r="P94"/>
  <c r="O94"/>
  <c r="S94" s="1"/>
  <c r="N94"/>
  <c r="N98" s="1"/>
  <c r="I94"/>
  <c r="AJ93"/>
  <c r="AI93"/>
  <c r="AH93"/>
  <c r="AF93"/>
  <c r="AE93"/>
  <c r="AD93"/>
  <c r="AL93" s="1"/>
  <c r="AC93"/>
  <c r="AK93" s="1"/>
  <c r="X93"/>
  <c r="R93"/>
  <c r="Q93"/>
  <c r="P93"/>
  <c r="O93"/>
  <c r="S93" s="1"/>
  <c r="N93"/>
  <c r="I93"/>
  <c r="AJ92"/>
  <c r="AJ98" s="1"/>
  <c r="AD92"/>
  <c r="AC92"/>
  <c r="AH92" s="1"/>
  <c r="AH98" s="1"/>
  <c r="X92"/>
  <c r="X98" s="1"/>
  <c r="R92"/>
  <c r="Q92"/>
  <c r="Q98" s="1"/>
  <c r="P92"/>
  <c r="P98" s="1"/>
  <c r="O92"/>
  <c r="O98" s="1"/>
  <c r="N92"/>
  <c r="I92"/>
  <c r="I98" s="1"/>
  <c r="AO91"/>
  <c r="AB91"/>
  <c r="AA91"/>
  <c r="Z91"/>
  <c r="Y91"/>
  <c r="W91"/>
  <c r="V91"/>
  <c r="U91"/>
  <c r="T91"/>
  <c r="M91"/>
  <c r="L91"/>
  <c r="K91"/>
  <c r="J91"/>
  <c r="H91"/>
  <c r="G91"/>
  <c r="F91"/>
  <c r="E91"/>
  <c r="D91"/>
  <c r="AJ90"/>
  <c r="AD90"/>
  <c r="AC90"/>
  <c r="AH90" s="1"/>
  <c r="X90"/>
  <c r="R90"/>
  <c r="Q90"/>
  <c r="P90"/>
  <c r="O90"/>
  <c r="S90" s="1"/>
  <c r="N90"/>
  <c r="I90"/>
  <c r="AJ89"/>
  <c r="AH89"/>
  <c r="AD89"/>
  <c r="AC89"/>
  <c r="AI89" s="1"/>
  <c r="X89"/>
  <c r="R89"/>
  <c r="Q89"/>
  <c r="P89"/>
  <c r="O89"/>
  <c r="S89" s="1"/>
  <c r="N89"/>
  <c r="I89"/>
  <c r="AJ88"/>
  <c r="AI88"/>
  <c r="AH88"/>
  <c r="AE88"/>
  <c r="AD88"/>
  <c r="AL88" s="1"/>
  <c r="AC88"/>
  <c r="AF88" s="1"/>
  <c r="X88"/>
  <c r="R88"/>
  <c r="Q88"/>
  <c r="P88"/>
  <c r="O88"/>
  <c r="S88" s="1"/>
  <c r="N88"/>
  <c r="I88"/>
  <c r="AJ87"/>
  <c r="AI87"/>
  <c r="AH87"/>
  <c r="AF87"/>
  <c r="AE87"/>
  <c r="AD87"/>
  <c r="AL87" s="1"/>
  <c r="AC87"/>
  <c r="AK87" s="1"/>
  <c r="X87"/>
  <c r="R87"/>
  <c r="Q87"/>
  <c r="P87"/>
  <c r="O87"/>
  <c r="S87" s="1"/>
  <c r="N87"/>
  <c r="I87"/>
  <c r="AJ86"/>
  <c r="AD86"/>
  <c r="AC86"/>
  <c r="AH86" s="1"/>
  <c r="X86"/>
  <c r="R86"/>
  <c r="Q86"/>
  <c r="P86"/>
  <c r="O86"/>
  <c r="S86" s="1"/>
  <c r="N86"/>
  <c r="I86"/>
  <c r="AJ85"/>
  <c r="AH85"/>
  <c r="AD85"/>
  <c r="AC85"/>
  <c r="AI85" s="1"/>
  <c r="X85"/>
  <c r="R85"/>
  <c r="Q85"/>
  <c r="P85"/>
  <c r="O85"/>
  <c r="S85" s="1"/>
  <c r="N85"/>
  <c r="I85"/>
  <c r="AJ84"/>
  <c r="AI84"/>
  <c r="AH84"/>
  <c r="AE84"/>
  <c r="AD84"/>
  <c r="AL84" s="1"/>
  <c r="AC84"/>
  <c r="AF84" s="1"/>
  <c r="X84"/>
  <c r="R84"/>
  <c r="Q84"/>
  <c r="P84"/>
  <c r="O84"/>
  <c r="S84" s="1"/>
  <c r="N84"/>
  <c r="I84"/>
  <c r="AJ83"/>
  <c r="AI83"/>
  <c r="AH83"/>
  <c r="AF83"/>
  <c r="AE83"/>
  <c r="AD83"/>
  <c r="AL83" s="1"/>
  <c r="AC83"/>
  <c r="AK83" s="1"/>
  <c r="X83"/>
  <c r="R83"/>
  <c r="Q83"/>
  <c r="P83"/>
  <c r="O83"/>
  <c r="S83" s="1"/>
  <c r="N83"/>
  <c r="I83"/>
  <c r="AJ82"/>
  <c r="AD82"/>
  <c r="AC82"/>
  <c r="AH82" s="1"/>
  <c r="X82"/>
  <c r="R82"/>
  <c r="Q82"/>
  <c r="P82"/>
  <c r="O82"/>
  <c r="S82" s="1"/>
  <c r="N82"/>
  <c r="I82"/>
  <c r="AJ81"/>
  <c r="AH81"/>
  <c r="AD81"/>
  <c r="AC81"/>
  <c r="AI81" s="1"/>
  <c r="X81"/>
  <c r="R81"/>
  <c r="Q81"/>
  <c r="P81"/>
  <c r="O81"/>
  <c r="S81" s="1"/>
  <c r="N81"/>
  <c r="I81"/>
  <c r="AJ80"/>
  <c r="AI80"/>
  <c r="AH80"/>
  <c r="AE80"/>
  <c r="AD80"/>
  <c r="AL80" s="1"/>
  <c r="AC80"/>
  <c r="AF80" s="1"/>
  <c r="X80"/>
  <c r="R80"/>
  <c r="Q80"/>
  <c r="P80"/>
  <c r="O80"/>
  <c r="S80" s="1"/>
  <c r="N80"/>
  <c r="I80"/>
  <c r="AJ79"/>
  <c r="AI79"/>
  <c r="AH79"/>
  <c r="AF79"/>
  <c r="AE79"/>
  <c r="AD79"/>
  <c r="AL79" s="1"/>
  <c r="AC79"/>
  <c r="AK79" s="1"/>
  <c r="X79"/>
  <c r="R79"/>
  <c r="Q79"/>
  <c r="P79"/>
  <c r="O79"/>
  <c r="S79" s="1"/>
  <c r="N79"/>
  <c r="I79"/>
  <c r="AJ78"/>
  <c r="AD78"/>
  <c r="AC78"/>
  <c r="AH78" s="1"/>
  <c r="X78"/>
  <c r="R78"/>
  <c r="Q78"/>
  <c r="P78"/>
  <c r="O78"/>
  <c r="S78" s="1"/>
  <c r="N78"/>
  <c r="I78"/>
  <c r="AJ77"/>
  <c r="AH77"/>
  <c r="AD77"/>
  <c r="AC77"/>
  <c r="AI77" s="1"/>
  <c r="X77"/>
  <c r="R77"/>
  <c r="Q77"/>
  <c r="P77"/>
  <c r="O77"/>
  <c r="S77" s="1"/>
  <c r="N77"/>
  <c r="I77"/>
  <c r="AJ76"/>
  <c r="AI76"/>
  <c r="AH76"/>
  <c r="AE76"/>
  <c r="AD76"/>
  <c r="AL76" s="1"/>
  <c r="AC76"/>
  <c r="AF76" s="1"/>
  <c r="X76"/>
  <c r="R76"/>
  <c r="Q76"/>
  <c r="P76"/>
  <c r="O76"/>
  <c r="S76" s="1"/>
  <c r="N76"/>
  <c r="I76"/>
  <c r="AJ75"/>
  <c r="AI75"/>
  <c r="AH75"/>
  <c r="AF75"/>
  <c r="AE75"/>
  <c r="AD75"/>
  <c r="AL75" s="1"/>
  <c r="AC75"/>
  <c r="AK75" s="1"/>
  <c r="X75"/>
  <c r="R75"/>
  <c r="Q75"/>
  <c r="P75"/>
  <c r="O75"/>
  <c r="S75" s="1"/>
  <c r="N75"/>
  <c r="I75"/>
  <c r="AJ74"/>
  <c r="AD74"/>
  <c r="AC74"/>
  <c r="AH74" s="1"/>
  <c r="X74"/>
  <c r="R74"/>
  <c r="Q74"/>
  <c r="P74"/>
  <c r="O74"/>
  <c r="S74" s="1"/>
  <c r="N74"/>
  <c r="I74"/>
  <c r="AJ73"/>
  <c r="AH73"/>
  <c r="AD73"/>
  <c r="AC73"/>
  <c r="AI73" s="1"/>
  <c r="X73"/>
  <c r="R73"/>
  <c r="Q73"/>
  <c r="P73"/>
  <c r="O73"/>
  <c r="S73" s="1"/>
  <c r="N73"/>
  <c r="I73"/>
  <c r="AJ72"/>
  <c r="AJ91" s="1"/>
  <c r="AI72"/>
  <c r="AH72"/>
  <c r="AE72"/>
  <c r="AD72"/>
  <c r="AD91" s="1"/>
  <c r="AC72"/>
  <c r="AF72" s="1"/>
  <c r="X72"/>
  <c r="X91" s="1"/>
  <c r="R72"/>
  <c r="R91" s="1"/>
  <c r="Q72"/>
  <c r="Q91" s="1"/>
  <c r="P72"/>
  <c r="P91" s="1"/>
  <c r="O72"/>
  <c r="O91" s="1"/>
  <c r="N72"/>
  <c r="N91" s="1"/>
  <c r="I72"/>
  <c r="I91" s="1"/>
  <c r="AO71"/>
  <c r="AB71"/>
  <c r="AA71"/>
  <c r="Z71"/>
  <c r="Y71"/>
  <c r="W71"/>
  <c r="V71"/>
  <c r="U71"/>
  <c r="T71"/>
  <c r="M71"/>
  <c r="L71"/>
  <c r="K71"/>
  <c r="J71"/>
  <c r="H71"/>
  <c r="G71"/>
  <c r="F71"/>
  <c r="E71"/>
  <c r="D71"/>
  <c r="AJ70"/>
  <c r="AI70"/>
  <c r="AH70"/>
  <c r="AE70"/>
  <c r="AD70"/>
  <c r="AL70" s="1"/>
  <c r="AC70"/>
  <c r="AF70" s="1"/>
  <c r="X70"/>
  <c r="R70"/>
  <c r="Q70"/>
  <c r="P70"/>
  <c r="O70"/>
  <c r="S70" s="1"/>
  <c r="N70"/>
  <c r="I70"/>
  <c r="AJ69"/>
  <c r="AI69"/>
  <c r="AH69"/>
  <c r="AF69"/>
  <c r="AE69"/>
  <c r="AD69"/>
  <c r="AL69" s="1"/>
  <c r="AC69"/>
  <c r="AK69" s="1"/>
  <c r="X69"/>
  <c r="R69"/>
  <c r="Q69"/>
  <c r="P69"/>
  <c r="O69"/>
  <c r="S69" s="1"/>
  <c r="N69"/>
  <c r="I69"/>
  <c r="AJ68"/>
  <c r="AD68"/>
  <c r="AC68"/>
  <c r="AH68" s="1"/>
  <c r="X68"/>
  <c r="R68"/>
  <c r="Q68"/>
  <c r="P68"/>
  <c r="O68"/>
  <c r="S68" s="1"/>
  <c r="N68"/>
  <c r="I68"/>
  <c r="AJ67"/>
  <c r="AD67"/>
  <c r="AC67"/>
  <c r="AI67" s="1"/>
  <c r="X67"/>
  <c r="R67"/>
  <c r="Q67"/>
  <c r="P67"/>
  <c r="O67"/>
  <c r="S67" s="1"/>
  <c r="N67"/>
  <c r="I67"/>
  <c r="AJ66"/>
  <c r="AI66"/>
  <c r="AH66"/>
  <c r="AE66"/>
  <c r="AD66"/>
  <c r="AL66" s="1"/>
  <c r="AC66"/>
  <c r="AF66" s="1"/>
  <c r="X66"/>
  <c r="R66"/>
  <c r="Q66"/>
  <c r="P66"/>
  <c r="O66"/>
  <c r="S66" s="1"/>
  <c r="N66"/>
  <c r="I66"/>
  <c r="AJ65"/>
  <c r="AI65"/>
  <c r="AH65"/>
  <c r="AF65"/>
  <c r="AE65"/>
  <c r="AD65"/>
  <c r="AL65" s="1"/>
  <c r="AC65"/>
  <c r="AK65" s="1"/>
  <c r="X65"/>
  <c r="R65"/>
  <c r="Q65"/>
  <c r="P65"/>
  <c r="O65"/>
  <c r="S65" s="1"/>
  <c r="N65"/>
  <c r="I65"/>
  <c r="AJ64"/>
  <c r="AD64"/>
  <c r="AC64"/>
  <c r="AH64" s="1"/>
  <c r="X64"/>
  <c r="R64"/>
  <c r="Q64"/>
  <c r="P64"/>
  <c r="O64"/>
  <c r="S64" s="1"/>
  <c r="N64"/>
  <c r="I64"/>
  <c r="AJ63"/>
  <c r="AD63"/>
  <c r="AC63"/>
  <c r="AI63" s="1"/>
  <c r="X63"/>
  <c r="R63"/>
  <c r="Q63"/>
  <c r="P63"/>
  <c r="O63"/>
  <c r="S63" s="1"/>
  <c r="N63"/>
  <c r="I63"/>
  <c r="AJ62"/>
  <c r="AI62"/>
  <c r="AH62"/>
  <c r="AE62"/>
  <c r="AD62"/>
  <c r="AL62" s="1"/>
  <c r="AC62"/>
  <c r="AF62" s="1"/>
  <c r="X62"/>
  <c r="R62"/>
  <c r="Q62"/>
  <c r="P62"/>
  <c r="O62"/>
  <c r="S62" s="1"/>
  <c r="N62"/>
  <c r="I62"/>
  <c r="AJ61"/>
  <c r="AI61"/>
  <c r="AH61"/>
  <c r="AF61"/>
  <c r="AE61"/>
  <c r="AD61"/>
  <c r="AL61" s="1"/>
  <c r="AC61"/>
  <c r="AK61" s="1"/>
  <c r="X61"/>
  <c r="R61"/>
  <c r="Q61"/>
  <c r="P61"/>
  <c r="O61"/>
  <c r="S61" s="1"/>
  <c r="N61"/>
  <c r="I61"/>
  <c r="AJ60"/>
  <c r="AD60"/>
  <c r="AC60"/>
  <c r="AH60" s="1"/>
  <c r="X60"/>
  <c r="R60"/>
  <c r="Q60"/>
  <c r="P60"/>
  <c r="O60"/>
  <c r="S60" s="1"/>
  <c r="N60"/>
  <c r="I60"/>
  <c r="AJ59"/>
  <c r="AD59"/>
  <c r="AC59"/>
  <c r="AI59" s="1"/>
  <c r="X59"/>
  <c r="R59"/>
  <c r="Q59"/>
  <c r="P59"/>
  <c r="O59"/>
  <c r="S59" s="1"/>
  <c r="N59"/>
  <c r="I59"/>
  <c r="AJ58"/>
  <c r="AI58"/>
  <c r="AH58"/>
  <c r="AE58"/>
  <c r="AD58"/>
  <c r="AL58" s="1"/>
  <c r="AC58"/>
  <c r="AF58" s="1"/>
  <c r="X58"/>
  <c r="R58"/>
  <c r="Q58"/>
  <c r="P58"/>
  <c r="O58"/>
  <c r="S58" s="1"/>
  <c r="N58"/>
  <c r="I58"/>
  <c r="AJ57"/>
  <c r="AI57"/>
  <c r="AH57"/>
  <c r="AF57"/>
  <c r="AE57"/>
  <c r="AD57"/>
  <c r="AL57" s="1"/>
  <c r="AC57"/>
  <c r="AK57" s="1"/>
  <c r="X57"/>
  <c r="R57"/>
  <c r="Q57"/>
  <c r="P57"/>
  <c r="O57"/>
  <c r="S57" s="1"/>
  <c r="N57"/>
  <c r="I57"/>
  <c r="AJ56"/>
  <c r="AD56"/>
  <c r="AC56"/>
  <c r="AH56" s="1"/>
  <c r="X56"/>
  <c r="R56"/>
  <c r="Q56"/>
  <c r="P56"/>
  <c r="O56"/>
  <c r="S56" s="1"/>
  <c r="N56"/>
  <c r="I56"/>
  <c r="AJ55"/>
  <c r="AD55"/>
  <c r="AC55"/>
  <c r="AI55" s="1"/>
  <c r="X55"/>
  <c r="R55"/>
  <c r="Q55"/>
  <c r="P55"/>
  <c r="O55"/>
  <c r="S55" s="1"/>
  <c r="N55"/>
  <c r="I55"/>
  <c r="AJ54"/>
  <c r="AI54"/>
  <c r="AH54"/>
  <c r="AE54"/>
  <c r="AD54"/>
  <c r="AL54" s="1"/>
  <c r="AC54"/>
  <c r="AF54" s="1"/>
  <c r="X54"/>
  <c r="R54"/>
  <c r="Q54"/>
  <c r="P54"/>
  <c r="O54"/>
  <c r="S54" s="1"/>
  <c r="N54"/>
  <c r="I54"/>
  <c r="AJ53"/>
  <c r="AJ71" s="1"/>
  <c r="AI53"/>
  <c r="AH53"/>
  <c r="AF53"/>
  <c r="AE53"/>
  <c r="AD53"/>
  <c r="AD71" s="1"/>
  <c r="AC53"/>
  <c r="AK53" s="1"/>
  <c r="X53"/>
  <c r="X71" s="1"/>
  <c r="R53"/>
  <c r="R71" s="1"/>
  <c r="Q53"/>
  <c r="Q71" s="1"/>
  <c r="P53"/>
  <c r="P71" s="1"/>
  <c r="O53"/>
  <c r="O71" s="1"/>
  <c r="N53"/>
  <c r="N71" s="1"/>
  <c r="I53"/>
  <c r="I71" s="1"/>
  <c r="AO52"/>
  <c r="AB52"/>
  <c r="AA52"/>
  <c r="Z52"/>
  <c r="Y52"/>
  <c r="W52"/>
  <c r="V52"/>
  <c r="U52"/>
  <c r="T52"/>
  <c r="M52"/>
  <c r="L52"/>
  <c r="K52"/>
  <c r="J52"/>
  <c r="H52"/>
  <c r="G52"/>
  <c r="F52"/>
  <c r="E52"/>
  <c r="D52"/>
  <c r="AJ51"/>
  <c r="AI51"/>
  <c r="AH51"/>
  <c r="AF51"/>
  <c r="AE51"/>
  <c r="AD51"/>
  <c r="AL51" s="1"/>
  <c r="AC51"/>
  <c r="AK51" s="1"/>
  <c r="X51"/>
  <c r="R51"/>
  <c r="Q51"/>
  <c r="P51"/>
  <c r="O51"/>
  <c r="S51" s="1"/>
  <c r="N51"/>
  <c r="I51"/>
  <c r="AJ50"/>
  <c r="AF50"/>
  <c r="AD50"/>
  <c r="AC50"/>
  <c r="AH50" s="1"/>
  <c r="X50"/>
  <c r="R50"/>
  <c r="Q50"/>
  <c r="P50"/>
  <c r="O50"/>
  <c r="S50" s="1"/>
  <c r="N50"/>
  <c r="I50"/>
  <c r="AJ49"/>
  <c r="AD49"/>
  <c r="AC49"/>
  <c r="AI49" s="1"/>
  <c r="X49"/>
  <c r="R49"/>
  <c r="Q49"/>
  <c r="P49"/>
  <c r="O49"/>
  <c r="S49" s="1"/>
  <c r="N49"/>
  <c r="I49"/>
  <c r="AJ48"/>
  <c r="AI48"/>
  <c r="AH48"/>
  <c r="AE48"/>
  <c r="AD48"/>
  <c r="AL48" s="1"/>
  <c r="AC48"/>
  <c r="AF48" s="1"/>
  <c r="X48"/>
  <c r="R48"/>
  <c r="Q48"/>
  <c r="P48"/>
  <c r="O48"/>
  <c r="S48" s="1"/>
  <c r="N48"/>
  <c r="I48"/>
  <c r="AJ47"/>
  <c r="AI47"/>
  <c r="AH47"/>
  <c r="AF47"/>
  <c r="AE47"/>
  <c r="AD47"/>
  <c r="AC47"/>
  <c r="AK47" s="1"/>
  <c r="X47"/>
  <c r="R47"/>
  <c r="Q47"/>
  <c r="P47"/>
  <c r="O47"/>
  <c r="S47" s="1"/>
  <c r="N47"/>
  <c r="I47"/>
  <c r="AK46"/>
  <c r="AJ46"/>
  <c r="AG46"/>
  <c r="AF46"/>
  <c r="AD46"/>
  <c r="AC46"/>
  <c r="X46"/>
  <c r="R46"/>
  <c r="Q46"/>
  <c r="P46"/>
  <c r="O46"/>
  <c r="S46" s="1"/>
  <c r="N46"/>
  <c r="I46"/>
  <c r="AP45"/>
  <c r="AN45"/>
  <c r="AM45"/>
  <c r="AK44"/>
  <c r="AJ44"/>
  <c r="AF44"/>
  <c r="AD44"/>
  <c r="AC44"/>
  <c r="AH44" s="1"/>
  <c r="X44"/>
  <c r="R44"/>
  <c r="Q44"/>
  <c r="P44"/>
  <c r="O44"/>
  <c r="S44" s="1"/>
  <c r="N44"/>
  <c r="I44"/>
  <c r="AK43"/>
  <c r="AJ43"/>
  <c r="AF43"/>
  <c r="AD43"/>
  <c r="AC43"/>
  <c r="AG43" s="1"/>
  <c r="X43"/>
  <c r="R43"/>
  <c r="Q43"/>
  <c r="P43"/>
  <c r="O43"/>
  <c r="N43"/>
  <c r="I43"/>
  <c r="AK42"/>
  <c r="AJ42"/>
  <c r="AG42"/>
  <c r="AD42"/>
  <c r="AC42"/>
  <c r="AF42" s="1"/>
  <c r="X42"/>
  <c r="R42"/>
  <c r="Q42"/>
  <c r="P42"/>
  <c r="O42"/>
  <c r="S42" s="1"/>
  <c r="N42"/>
  <c r="I42"/>
  <c r="AJ41"/>
  <c r="AI41"/>
  <c r="AH41"/>
  <c r="AF41"/>
  <c r="AE41"/>
  <c r="AD41"/>
  <c r="AC41"/>
  <c r="AK41" s="1"/>
  <c r="X41"/>
  <c r="R41"/>
  <c r="Q41"/>
  <c r="P41"/>
  <c r="O41"/>
  <c r="S41" s="1"/>
  <c r="N41"/>
  <c r="I41"/>
  <c r="AJ40"/>
  <c r="AD40"/>
  <c r="AC40"/>
  <c r="AH40" s="1"/>
  <c r="X40"/>
  <c r="R40"/>
  <c r="Q40"/>
  <c r="P40"/>
  <c r="O40"/>
  <c r="S40" s="1"/>
  <c r="N40"/>
  <c r="I40"/>
  <c r="AK39"/>
  <c r="AJ39"/>
  <c r="AG39"/>
  <c r="AF39"/>
  <c r="AD39"/>
  <c r="AC39"/>
  <c r="X39"/>
  <c r="R39"/>
  <c r="Q39"/>
  <c r="P39"/>
  <c r="O39"/>
  <c r="N39"/>
  <c r="I39"/>
  <c r="AJ38"/>
  <c r="AD38"/>
  <c r="AC38"/>
  <c r="AF38" s="1"/>
  <c r="X38"/>
  <c r="R38"/>
  <c r="Q38"/>
  <c r="P38"/>
  <c r="O38"/>
  <c r="S38" s="1"/>
  <c r="N38"/>
  <c r="I38"/>
  <c r="AJ37"/>
  <c r="AL37" s="1"/>
  <c r="AI37"/>
  <c r="AH37"/>
  <c r="AF37"/>
  <c r="AE37"/>
  <c r="AD37"/>
  <c r="AC37"/>
  <c r="AK37" s="1"/>
  <c r="X37"/>
  <c r="R37"/>
  <c r="Q37"/>
  <c r="P37"/>
  <c r="O37"/>
  <c r="S37" s="1"/>
  <c r="N37"/>
  <c r="I37"/>
  <c r="AJ36"/>
  <c r="AI36"/>
  <c r="AE36"/>
  <c r="AD36"/>
  <c r="AL36" s="1"/>
  <c r="AC36"/>
  <c r="AH36" s="1"/>
  <c r="X36"/>
  <c r="R36"/>
  <c r="Q36"/>
  <c r="P36"/>
  <c r="O36"/>
  <c r="S36" s="1"/>
  <c r="N36"/>
  <c r="I36"/>
  <c r="AJ35"/>
  <c r="AG35"/>
  <c r="AD35"/>
  <c r="AC35"/>
  <c r="X35"/>
  <c r="R35"/>
  <c r="Q35"/>
  <c r="P35"/>
  <c r="O35"/>
  <c r="S35" s="1"/>
  <c r="N35"/>
  <c r="I35"/>
  <c r="AJ34"/>
  <c r="AJ52" s="1"/>
  <c r="AI34"/>
  <c r="AE34"/>
  <c r="AD34"/>
  <c r="AD52" s="1"/>
  <c r="AC34"/>
  <c r="AK34" s="1"/>
  <c r="X34"/>
  <c r="R34"/>
  <c r="R52" s="1"/>
  <c r="Q34"/>
  <c r="P34"/>
  <c r="O34"/>
  <c r="O52" s="1"/>
  <c r="N34"/>
  <c r="N52" s="1"/>
  <c r="I34"/>
  <c r="AO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I32"/>
  <c r="AH32"/>
  <c r="AF32"/>
  <c r="AE32"/>
  <c r="AD32"/>
  <c r="AL32" s="1"/>
  <c r="AC32"/>
  <c r="AK32" s="1"/>
  <c r="X32"/>
  <c r="R32"/>
  <c r="Q32"/>
  <c r="P32"/>
  <c r="O32"/>
  <c r="S32" s="1"/>
  <c r="N32"/>
  <c r="I32"/>
  <c r="AJ31"/>
  <c r="AF31"/>
  <c r="AD31"/>
  <c r="AC31"/>
  <c r="AI31" s="1"/>
  <c r="X31"/>
  <c r="R31"/>
  <c r="Q31"/>
  <c r="P31"/>
  <c r="O31"/>
  <c r="S31" s="1"/>
  <c r="N31"/>
  <c r="I31"/>
  <c r="AJ30"/>
  <c r="AD30"/>
  <c r="AC30"/>
  <c r="AF30" s="1"/>
  <c r="X30"/>
  <c r="R30"/>
  <c r="Q30"/>
  <c r="P30"/>
  <c r="O30"/>
  <c r="S30" s="1"/>
  <c r="N30"/>
  <c r="I30"/>
  <c r="AJ29"/>
  <c r="AI29"/>
  <c r="AH29"/>
  <c r="AE29"/>
  <c r="AD29"/>
  <c r="AL29" s="1"/>
  <c r="AC29"/>
  <c r="AK29" s="1"/>
  <c r="X29"/>
  <c r="R29"/>
  <c r="Q29"/>
  <c r="P29"/>
  <c r="O29"/>
  <c r="S29" s="1"/>
  <c r="N29"/>
  <c r="I29"/>
  <c r="AJ28"/>
  <c r="AI28"/>
  <c r="AH28"/>
  <c r="AF28"/>
  <c r="AE28"/>
  <c r="AD28"/>
  <c r="AL28" s="1"/>
  <c r="AC28"/>
  <c r="AK28" s="1"/>
  <c r="X28"/>
  <c r="R28"/>
  <c r="Q28"/>
  <c r="P28"/>
  <c r="O28"/>
  <c r="S28" s="1"/>
  <c r="N28"/>
  <c r="I28"/>
  <c r="AJ27"/>
  <c r="AF27"/>
  <c r="AD27"/>
  <c r="AC27"/>
  <c r="AI27" s="1"/>
  <c r="X27"/>
  <c r="R27"/>
  <c r="Q27"/>
  <c r="P27"/>
  <c r="O27"/>
  <c r="S27" s="1"/>
  <c r="N27"/>
  <c r="I27"/>
  <c r="AJ26"/>
  <c r="AD26"/>
  <c r="AC26"/>
  <c r="AF26" s="1"/>
  <c r="X26"/>
  <c r="R26"/>
  <c r="Q26"/>
  <c r="P26"/>
  <c r="O26"/>
  <c r="S26" s="1"/>
  <c r="N26"/>
  <c r="I26"/>
  <c r="AJ25"/>
  <c r="AI25"/>
  <c r="AH25"/>
  <c r="AE25"/>
  <c r="AD25"/>
  <c r="AL25" s="1"/>
  <c r="AC25"/>
  <c r="AK25" s="1"/>
  <c r="X25"/>
  <c r="R25"/>
  <c r="Q25"/>
  <c r="P25"/>
  <c r="O25"/>
  <c r="S25" s="1"/>
  <c r="N25"/>
  <c r="I25"/>
  <c r="AJ24"/>
  <c r="AI24"/>
  <c r="AH24"/>
  <c r="AF24"/>
  <c r="AE24"/>
  <c r="AD24"/>
  <c r="AL24" s="1"/>
  <c r="AC24"/>
  <c r="AK24" s="1"/>
  <c r="X24"/>
  <c r="R24"/>
  <c r="Q24"/>
  <c r="P24"/>
  <c r="O24"/>
  <c r="S24" s="1"/>
  <c r="N24"/>
  <c r="I24"/>
  <c r="AJ23"/>
  <c r="AF23"/>
  <c r="AD23"/>
  <c r="AC23"/>
  <c r="AI23" s="1"/>
  <c r="X23"/>
  <c r="R23"/>
  <c r="Q23"/>
  <c r="P23"/>
  <c r="O23"/>
  <c r="S23" s="1"/>
  <c r="N23"/>
  <c r="I23"/>
  <c r="AJ22"/>
  <c r="AJ33" s="1"/>
  <c r="AD22"/>
  <c r="AD33" s="1"/>
  <c r="AC22"/>
  <c r="AF22" s="1"/>
  <c r="X22"/>
  <c r="X33" s="1"/>
  <c r="R22"/>
  <c r="R33" s="1"/>
  <c r="Q22"/>
  <c r="Q33" s="1"/>
  <c r="P22"/>
  <c r="P33" s="1"/>
  <c r="O22"/>
  <c r="O33" s="1"/>
  <c r="N22"/>
  <c r="N33" s="1"/>
  <c r="I22"/>
  <c r="I33" s="1"/>
  <c r="AO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D20"/>
  <c r="AC20"/>
  <c r="AF20" s="1"/>
  <c r="X20"/>
  <c r="R20"/>
  <c r="Q20"/>
  <c r="P20"/>
  <c r="O20"/>
  <c r="S20" s="1"/>
  <c r="N20"/>
  <c r="I20"/>
  <c r="AJ19"/>
  <c r="AI19"/>
  <c r="AH19"/>
  <c r="AE19"/>
  <c r="AD19"/>
  <c r="AL19" s="1"/>
  <c r="AC19"/>
  <c r="AK19" s="1"/>
  <c r="X19"/>
  <c r="R19"/>
  <c r="Q19"/>
  <c r="P19"/>
  <c r="O19"/>
  <c r="S19" s="1"/>
  <c r="N19"/>
  <c r="I19"/>
  <c r="AJ18"/>
  <c r="AI18"/>
  <c r="AH18"/>
  <c r="AF18"/>
  <c r="AE18"/>
  <c r="AD18"/>
  <c r="AL18" s="1"/>
  <c r="AC18"/>
  <c r="AK18" s="1"/>
  <c r="X18"/>
  <c r="R18"/>
  <c r="Q18"/>
  <c r="P18"/>
  <c r="O18"/>
  <c r="S18" s="1"/>
  <c r="N18"/>
  <c r="I18"/>
  <c r="AJ17"/>
  <c r="AF17"/>
  <c r="AD17"/>
  <c r="AC17"/>
  <c r="AI17" s="1"/>
  <c r="X17"/>
  <c r="R17"/>
  <c r="Q17"/>
  <c r="P17"/>
  <c r="S17" s="1"/>
  <c r="O17"/>
  <c r="N17"/>
  <c r="I17"/>
  <c r="AJ16"/>
  <c r="AD16"/>
  <c r="AC16"/>
  <c r="AF16" s="1"/>
  <c r="X16"/>
  <c r="R16"/>
  <c r="Q16"/>
  <c r="P16"/>
  <c r="O16"/>
  <c r="S16" s="1"/>
  <c r="N16"/>
  <c r="I16"/>
  <c r="AJ15"/>
  <c r="AI15"/>
  <c r="AH15"/>
  <c r="AE15"/>
  <c r="AD15"/>
  <c r="AL15" s="1"/>
  <c r="AC15"/>
  <c r="AK15" s="1"/>
  <c r="X15"/>
  <c r="R15"/>
  <c r="Q15"/>
  <c r="P15"/>
  <c r="O15"/>
  <c r="S15" s="1"/>
  <c r="N15"/>
  <c r="I15"/>
  <c r="AJ14"/>
  <c r="AJ21" s="1"/>
  <c r="AI14"/>
  <c r="AH14"/>
  <c r="AF14"/>
  <c r="AE14"/>
  <c r="AD14"/>
  <c r="AD21" s="1"/>
  <c r="AC14"/>
  <c r="AC21" s="1"/>
  <c r="X14"/>
  <c r="X21" s="1"/>
  <c r="R14"/>
  <c r="R21" s="1"/>
  <c r="Q14"/>
  <c r="Q21" s="1"/>
  <c r="P14"/>
  <c r="P21" s="1"/>
  <c r="O14"/>
  <c r="O21" s="1"/>
  <c r="N14"/>
  <c r="N21" s="1"/>
  <c r="I14"/>
  <c r="I21" s="1"/>
  <c r="AO13"/>
  <c r="AB13"/>
  <c r="AA13"/>
  <c r="Z13"/>
  <c r="Y13"/>
  <c r="W13"/>
  <c r="V13"/>
  <c r="U13"/>
  <c r="T13"/>
  <c r="H13"/>
  <c r="G13"/>
  <c r="F13"/>
  <c r="E13"/>
  <c r="D13"/>
  <c r="AJ12"/>
  <c r="AI12"/>
  <c r="AH12"/>
  <c r="AF12"/>
  <c r="AE12"/>
  <c r="AD12"/>
  <c r="AL12" s="1"/>
  <c r="AC12"/>
  <c r="AK12" s="1"/>
  <c r="X12"/>
  <c r="R12"/>
  <c r="Q12"/>
  <c r="P12"/>
  <c r="O12"/>
  <c r="S12" s="1"/>
  <c r="N12"/>
  <c r="I12"/>
  <c r="AJ11"/>
  <c r="AF11"/>
  <c r="AD11"/>
  <c r="AC11"/>
  <c r="AI11" s="1"/>
  <c r="X11"/>
  <c r="R11"/>
  <c r="Q11"/>
  <c r="P11"/>
  <c r="O11"/>
  <c r="S11" s="1"/>
  <c r="N11"/>
  <c r="I11"/>
  <c r="AJ10"/>
  <c r="AD10"/>
  <c r="AC10"/>
  <c r="AF10" s="1"/>
  <c r="X10"/>
  <c r="R10"/>
  <c r="Q10"/>
  <c r="P10"/>
  <c r="O10"/>
  <c r="S10" s="1"/>
  <c r="N10"/>
  <c r="I10"/>
  <c r="AJ9"/>
  <c r="AI9"/>
  <c r="AH9"/>
  <c r="AE9"/>
  <c r="AD9"/>
  <c r="AL9" s="1"/>
  <c r="AC9"/>
  <c r="AG9" s="1"/>
  <c r="X9"/>
  <c r="R9"/>
  <c r="Q9"/>
  <c r="P9"/>
  <c r="O9"/>
  <c r="S9" s="1"/>
  <c r="N9"/>
  <c r="I9"/>
  <c r="AJ8"/>
  <c r="AI8"/>
  <c r="AH8"/>
  <c r="AF8"/>
  <c r="AE8"/>
  <c r="AD8"/>
  <c r="AL8" s="1"/>
  <c r="AC8"/>
  <c r="AK8" s="1"/>
  <c r="X8"/>
  <c r="R8"/>
  <c r="Q8"/>
  <c r="P8"/>
  <c r="O8"/>
  <c r="S8" s="1"/>
  <c r="N8"/>
  <c r="I8"/>
  <c r="AJ7"/>
  <c r="AD7"/>
  <c r="AC7"/>
  <c r="AI7" s="1"/>
  <c r="X7"/>
  <c r="R7"/>
  <c r="Q7"/>
  <c r="P7"/>
  <c r="O7"/>
  <c r="S7" s="1"/>
  <c r="N7"/>
  <c r="I7"/>
  <c r="AJ6"/>
  <c r="AH6"/>
  <c r="AD6"/>
  <c r="AC6"/>
  <c r="AF6" s="1"/>
  <c r="X6"/>
  <c r="R6"/>
  <c r="Q6"/>
  <c r="Q13" s="1"/>
  <c r="P6"/>
  <c r="O6"/>
  <c r="S6" s="1"/>
  <c r="N6"/>
  <c r="I6"/>
  <c r="I13" s="1"/>
  <c r="AJ5"/>
  <c r="AI5"/>
  <c r="AH5"/>
  <c r="AE5"/>
  <c r="AD5"/>
  <c r="AL5" s="1"/>
  <c r="AC5"/>
  <c r="AK5" s="1"/>
  <c r="X5"/>
  <c r="R5"/>
  <c r="R13" s="1"/>
  <c r="Q5"/>
  <c r="P5"/>
  <c r="O5"/>
  <c r="S5" s="1"/>
  <c r="N5"/>
  <c r="N13" s="1"/>
  <c r="I5"/>
  <c r="AJ4"/>
  <c r="AJ13" s="1"/>
  <c r="AI4"/>
  <c r="AH4"/>
  <c r="AF4"/>
  <c r="AE4"/>
  <c r="AD4"/>
  <c r="AD13" s="1"/>
  <c r="AC4"/>
  <c r="AK4" s="1"/>
  <c r="X4"/>
  <c r="X13" s="1"/>
  <c r="R4"/>
  <c r="Q4"/>
  <c r="P4"/>
  <c r="P13" s="1"/>
  <c r="O4"/>
  <c r="O13" s="1"/>
  <c r="N4"/>
  <c r="I4"/>
  <c r="K135" i="44" l="1"/>
  <c r="K317"/>
  <c r="K43"/>
  <c r="K231"/>
  <c r="K127"/>
  <c r="K15"/>
  <c r="K38"/>
  <c r="K158"/>
  <c r="K59"/>
  <c r="K68"/>
  <c r="K74"/>
  <c r="K211"/>
  <c r="K368"/>
  <c r="K10"/>
  <c r="K4" s="1"/>
  <c r="K116"/>
  <c r="K140"/>
  <c r="K189"/>
  <c r="K272"/>
  <c r="K286"/>
  <c r="K49"/>
  <c r="K88"/>
  <c r="K102"/>
  <c r="K128"/>
  <c r="K152"/>
  <c r="K172"/>
  <c r="K201"/>
  <c r="K362"/>
  <c r="K53"/>
  <c r="K180"/>
  <c r="K221"/>
  <c r="K238"/>
  <c r="K300"/>
  <c r="K329"/>
  <c r="K338"/>
  <c r="K328" s="1"/>
  <c r="K354"/>
  <c r="K5"/>
  <c r="K29"/>
  <c r="K117"/>
  <c r="K318"/>
  <c r="K355"/>
  <c r="AM8" i="43"/>
  <c r="AN8" s="1"/>
  <c r="AP8" s="1"/>
  <c r="AL11"/>
  <c r="AL17"/>
  <c r="AM24"/>
  <c r="AN24" s="1"/>
  <c r="AP24" s="1"/>
  <c r="AL27"/>
  <c r="AM32"/>
  <c r="AN32" s="1"/>
  <c r="AP32" s="1"/>
  <c r="AI39"/>
  <c r="AE39"/>
  <c r="AH46"/>
  <c r="AL46" s="1"/>
  <c r="AI46"/>
  <c r="AE46"/>
  <c r="S4"/>
  <c r="S13" s="1"/>
  <c r="AK10"/>
  <c r="AL4"/>
  <c r="AG5"/>
  <c r="AE7"/>
  <c r="AK9"/>
  <c r="AM9" s="1"/>
  <c r="AN9" s="1"/>
  <c r="AP9" s="1"/>
  <c r="AE11"/>
  <c r="AG4"/>
  <c r="AF5"/>
  <c r="AM5" s="1"/>
  <c r="AN5" s="1"/>
  <c r="AP5" s="1"/>
  <c r="AE6"/>
  <c r="AI6"/>
  <c r="AI13" s="1"/>
  <c r="AH7"/>
  <c r="AL7" s="1"/>
  <c r="AG8"/>
  <c r="AF9"/>
  <c r="AE10"/>
  <c r="AI10"/>
  <c r="AH11"/>
  <c r="AG12"/>
  <c r="AM12" s="1"/>
  <c r="AN12" s="1"/>
  <c r="AP12" s="1"/>
  <c r="AE13"/>
  <c r="AG14"/>
  <c r="AK14"/>
  <c r="AF15"/>
  <c r="AF21" s="1"/>
  <c r="AE16"/>
  <c r="AE21" s="1"/>
  <c r="AI16"/>
  <c r="AI21" s="1"/>
  <c r="AH17"/>
  <c r="AG18"/>
  <c r="AM18" s="1"/>
  <c r="AN18" s="1"/>
  <c r="AP18" s="1"/>
  <c r="AF19"/>
  <c r="AM19" s="1"/>
  <c r="AN19" s="1"/>
  <c r="AP19" s="1"/>
  <c r="AE20"/>
  <c r="AI20"/>
  <c r="S22"/>
  <c r="S33" s="1"/>
  <c r="AE22"/>
  <c r="AI22"/>
  <c r="AH23"/>
  <c r="AL23" s="1"/>
  <c r="AG24"/>
  <c r="AF25"/>
  <c r="AF33" s="1"/>
  <c r="AE26"/>
  <c r="AI26"/>
  <c r="AH27"/>
  <c r="AG28"/>
  <c r="AM28" s="1"/>
  <c r="AN28" s="1"/>
  <c r="AP28" s="1"/>
  <c r="AF29"/>
  <c r="AE30"/>
  <c r="AI30"/>
  <c r="AH31"/>
  <c r="AL31" s="1"/>
  <c r="AG32"/>
  <c r="P52"/>
  <c r="P119" s="1"/>
  <c r="X52"/>
  <c r="AG34"/>
  <c r="AF36"/>
  <c r="AM36" s="1"/>
  <c r="AN36" s="1"/>
  <c r="AP36" s="1"/>
  <c r="AK36"/>
  <c r="AE38"/>
  <c r="AH39"/>
  <c r="AE40"/>
  <c r="AL41"/>
  <c r="AI42"/>
  <c r="S43"/>
  <c r="AI44"/>
  <c r="AL44" s="1"/>
  <c r="G119"/>
  <c r="AA119"/>
  <c r="AJ119"/>
  <c r="E119"/>
  <c r="J119"/>
  <c r="T119"/>
  <c r="Y119"/>
  <c r="AO119"/>
  <c r="AI35"/>
  <c r="AE35"/>
  <c r="AM35" s="1"/>
  <c r="AN35" s="1"/>
  <c r="AP35" s="1"/>
  <c r="AG7"/>
  <c r="AK7"/>
  <c r="AH10"/>
  <c r="AL10" s="1"/>
  <c r="AG11"/>
  <c r="AK11"/>
  <c r="AH16"/>
  <c r="AL16" s="1"/>
  <c r="AG17"/>
  <c r="AK17"/>
  <c r="AH20"/>
  <c r="AL20" s="1"/>
  <c r="AH22"/>
  <c r="AH33" s="1"/>
  <c r="AG23"/>
  <c r="AK23"/>
  <c r="AM25"/>
  <c r="AN25" s="1"/>
  <c r="AP25" s="1"/>
  <c r="AH26"/>
  <c r="AL26" s="1"/>
  <c r="AG27"/>
  <c r="AK27"/>
  <c r="AM29"/>
  <c r="AN29" s="1"/>
  <c r="AP29" s="1"/>
  <c r="AH30"/>
  <c r="AL30" s="1"/>
  <c r="AG31"/>
  <c r="AK31"/>
  <c r="S34"/>
  <c r="AH35"/>
  <c r="AL35" s="1"/>
  <c r="AI38"/>
  <c r="S39"/>
  <c r="AL40"/>
  <c r="AI40"/>
  <c r="AH42"/>
  <c r="AL42" s="1"/>
  <c r="AG44"/>
  <c r="S103"/>
  <c r="K119"/>
  <c r="AL108"/>
  <c r="D119"/>
  <c r="H119"/>
  <c r="M119"/>
  <c r="AB119"/>
  <c r="AG6"/>
  <c r="AG10"/>
  <c r="AC13"/>
  <c r="S14"/>
  <c r="S21" s="1"/>
  <c r="AM14"/>
  <c r="AG16"/>
  <c r="AK16"/>
  <c r="AG20"/>
  <c r="AM20" s="1"/>
  <c r="AN20" s="1"/>
  <c r="AP20" s="1"/>
  <c r="AK20"/>
  <c r="AG22"/>
  <c r="AK22"/>
  <c r="AG26"/>
  <c r="AK26"/>
  <c r="AG30"/>
  <c r="AK30"/>
  <c r="AC33"/>
  <c r="AH38"/>
  <c r="AG40"/>
  <c r="AL60"/>
  <c r="AM79"/>
  <c r="AN79" s="1"/>
  <c r="AP79" s="1"/>
  <c r="AM97"/>
  <c r="AN97" s="1"/>
  <c r="AP97" s="1"/>
  <c r="N119"/>
  <c r="R119"/>
  <c r="AM113"/>
  <c r="AN113" s="1"/>
  <c r="AP113" s="1"/>
  <c r="L119"/>
  <c r="V119"/>
  <c r="AF34"/>
  <c r="AF52" s="1"/>
  <c r="AC52"/>
  <c r="AI43"/>
  <c r="AE43"/>
  <c r="AK6"/>
  <c r="AK13" s="1"/>
  <c r="AF7"/>
  <c r="AL14"/>
  <c r="AG15"/>
  <c r="AE17"/>
  <c r="AM17" s="1"/>
  <c r="AN17" s="1"/>
  <c r="AP17" s="1"/>
  <c r="AG19"/>
  <c r="AE23"/>
  <c r="AG25"/>
  <c r="AE27"/>
  <c r="AM27" s="1"/>
  <c r="AN27" s="1"/>
  <c r="AP27" s="1"/>
  <c r="AG29"/>
  <c r="AE31"/>
  <c r="I52"/>
  <c r="I119" s="1"/>
  <c r="Q52"/>
  <c r="Q119" s="1"/>
  <c r="AH34"/>
  <c r="AL34" s="1"/>
  <c r="AF35"/>
  <c r="AK35"/>
  <c r="AK52" s="1"/>
  <c r="AG36"/>
  <c r="AG38"/>
  <c r="AK38"/>
  <c r="AF40"/>
  <c r="AK40"/>
  <c r="AE42"/>
  <c r="AE52" s="1"/>
  <c r="AH43"/>
  <c r="AL43" s="1"/>
  <c r="AE44"/>
  <c r="AL47"/>
  <c r="AM61"/>
  <c r="AN61" s="1"/>
  <c r="AP61" s="1"/>
  <c r="AH91"/>
  <c r="AI103"/>
  <c r="AH103"/>
  <c r="W119"/>
  <c r="O119"/>
  <c r="X119"/>
  <c r="F119"/>
  <c r="U119"/>
  <c r="Z119"/>
  <c r="AH49"/>
  <c r="AL49" s="1"/>
  <c r="AG50"/>
  <c r="AK50"/>
  <c r="AH55"/>
  <c r="AH71" s="1"/>
  <c r="AL55"/>
  <c r="AG56"/>
  <c r="AK56"/>
  <c r="AH59"/>
  <c r="AL59"/>
  <c r="AG60"/>
  <c r="AK60"/>
  <c r="AH63"/>
  <c r="AL63" s="1"/>
  <c r="AG64"/>
  <c r="AK64"/>
  <c r="AH67"/>
  <c r="AL67" s="1"/>
  <c r="AG68"/>
  <c r="AK68"/>
  <c r="AC71"/>
  <c r="S72"/>
  <c r="S91" s="1"/>
  <c r="AL73"/>
  <c r="AG74"/>
  <c r="AK74"/>
  <c r="AL77"/>
  <c r="AG78"/>
  <c r="AK78"/>
  <c r="AL81"/>
  <c r="AG82"/>
  <c r="AK82"/>
  <c r="AL85"/>
  <c r="AG86"/>
  <c r="AK86"/>
  <c r="AL89"/>
  <c r="AG90"/>
  <c r="AK90"/>
  <c r="AG92"/>
  <c r="AK92"/>
  <c r="AL95"/>
  <c r="AG96"/>
  <c r="AK96"/>
  <c r="AD98"/>
  <c r="AL101"/>
  <c r="AG102"/>
  <c r="AK102"/>
  <c r="AK103" s="1"/>
  <c r="O103"/>
  <c r="AG104"/>
  <c r="AK104"/>
  <c r="AL107"/>
  <c r="AG108"/>
  <c r="AK108"/>
  <c r="AL111"/>
  <c r="AG112"/>
  <c r="AK112"/>
  <c r="AL115"/>
  <c r="AG116"/>
  <c r="AK116"/>
  <c r="AD118"/>
  <c r="AG49"/>
  <c r="AK49"/>
  <c r="S53"/>
  <c r="S71" s="1"/>
  <c r="AG55"/>
  <c r="AK55"/>
  <c r="AK71" s="1"/>
  <c r="AF56"/>
  <c r="AG59"/>
  <c r="AK59"/>
  <c r="AF60"/>
  <c r="AG63"/>
  <c r="AK63"/>
  <c r="AF64"/>
  <c r="AG67"/>
  <c r="AK67"/>
  <c r="AF68"/>
  <c r="AL72"/>
  <c r="AG73"/>
  <c r="AK73"/>
  <c r="AF74"/>
  <c r="AG77"/>
  <c r="AK77"/>
  <c r="AF78"/>
  <c r="AG81"/>
  <c r="AK81"/>
  <c r="AF82"/>
  <c r="AG85"/>
  <c r="AK85"/>
  <c r="AF86"/>
  <c r="AG89"/>
  <c r="AK89"/>
  <c r="AF90"/>
  <c r="AF92"/>
  <c r="AF98" s="1"/>
  <c r="AG95"/>
  <c r="AK95"/>
  <c r="AF96"/>
  <c r="AC98"/>
  <c r="AL100"/>
  <c r="AG101"/>
  <c r="AK101"/>
  <c r="AF102"/>
  <c r="AF104"/>
  <c r="AG107"/>
  <c r="AK107"/>
  <c r="AF108"/>
  <c r="AG111"/>
  <c r="AK111"/>
  <c r="AF112"/>
  <c r="AG115"/>
  <c r="AM115" s="1"/>
  <c r="AN115" s="1"/>
  <c r="AP115" s="1"/>
  <c r="AK115"/>
  <c r="AF116"/>
  <c r="AC118"/>
  <c r="AG48"/>
  <c r="AK48"/>
  <c r="AM48" s="1"/>
  <c r="AN48" s="1"/>
  <c r="AP48" s="1"/>
  <c r="AF49"/>
  <c r="AE50"/>
  <c r="AI50"/>
  <c r="AI52" s="1"/>
  <c r="AL53"/>
  <c r="AG54"/>
  <c r="AM54" s="1"/>
  <c r="AN54" s="1"/>
  <c r="AP54" s="1"/>
  <c r="AK54"/>
  <c r="AF55"/>
  <c r="AF71" s="1"/>
  <c r="AE56"/>
  <c r="AI56"/>
  <c r="AI71" s="1"/>
  <c r="AG58"/>
  <c r="AM58" s="1"/>
  <c r="AN58" s="1"/>
  <c r="AP58" s="1"/>
  <c r="AK58"/>
  <c r="AF59"/>
  <c r="AE60"/>
  <c r="AI60"/>
  <c r="AG62"/>
  <c r="AM62" s="1"/>
  <c r="AN62" s="1"/>
  <c r="AP62" s="1"/>
  <c r="AK62"/>
  <c r="AF63"/>
  <c r="AE64"/>
  <c r="AI64"/>
  <c r="AL64" s="1"/>
  <c r="AG66"/>
  <c r="AM66" s="1"/>
  <c r="AN66" s="1"/>
  <c r="AP66" s="1"/>
  <c r="AK66"/>
  <c r="AF67"/>
  <c r="AE68"/>
  <c r="AI68"/>
  <c r="AL68" s="1"/>
  <c r="AG70"/>
  <c r="AM70" s="1"/>
  <c r="AN70" s="1"/>
  <c r="AP70" s="1"/>
  <c r="AK70"/>
  <c r="AG72"/>
  <c r="AK72"/>
  <c r="AF73"/>
  <c r="AF91" s="1"/>
  <c r="AE74"/>
  <c r="AI74"/>
  <c r="AL74" s="1"/>
  <c r="AG76"/>
  <c r="AM76" s="1"/>
  <c r="AN76" s="1"/>
  <c r="AP76" s="1"/>
  <c r="AK76"/>
  <c r="AF77"/>
  <c r="AE78"/>
  <c r="AI78"/>
  <c r="AL78" s="1"/>
  <c r="AG80"/>
  <c r="AM80" s="1"/>
  <c r="AN80" s="1"/>
  <c r="AP80" s="1"/>
  <c r="AK80"/>
  <c r="AF81"/>
  <c r="AE82"/>
  <c r="AI82"/>
  <c r="AL82" s="1"/>
  <c r="AG84"/>
  <c r="AK84"/>
  <c r="AM84" s="1"/>
  <c r="AN84" s="1"/>
  <c r="AP84" s="1"/>
  <c r="AF85"/>
  <c r="AE86"/>
  <c r="AI86"/>
  <c r="AL86" s="1"/>
  <c r="AG88"/>
  <c r="AM88" s="1"/>
  <c r="AN88" s="1"/>
  <c r="AP88" s="1"/>
  <c r="AK88"/>
  <c r="AF89"/>
  <c r="AE90"/>
  <c r="AI90"/>
  <c r="AL90" s="1"/>
  <c r="AC91"/>
  <c r="S92"/>
  <c r="S98" s="1"/>
  <c r="AE92"/>
  <c r="AI92"/>
  <c r="AG94"/>
  <c r="AM94" s="1"/>
  <c r="AN94" s="1"/>
  <c r="AP94" s="1"/>
  <c r="AK94"/>
  <c r="AF95"/>
  <c r="AE96"/>
  <c r="AI96"/>
  <c r="AL96" s="1"/>
  <c r="AG100"/>
  <c r="AM100" s="1"/>
  <c r="AN100" s="1"/>
  <c r="AP100" s="1"/>
  <c r="AK100"/>
  <c r="AF101"/>
  <c r="AF103" s="1"/>
  <c r="AE102"/>
  <c r="AI102"/>
  <c r="AL102" s="1"/>
  <c r="AC103"/>
  <c r="S104"/>
  <c r="S118" s="1"/>
  <c r="AE104"/>
  <c r="AI104"/>
  <c r="AL104" s="1"/>
  <c r="AL118" s="1"/>
  <c r="AG106"/>
  <c r="AK106"/>
  <c r="AM106" s="1"/>
  <c r="AN106" s="1"/>
  <c r="AP106" s="1"/>
  <c r="AF107"/>
  <c r="AM107" s="1"/>
  <c r="AN107" s="1"/>
  <c r="AP107" s="1"/>
  <c r="AE108"/>
  <c r="AI108"/>
  <c r="AG110"/>
  <c r="AM110" s="1"/>
  <c r="AN110" s="1"/>
  <c r="AP110" s="1"/>
  <c r="AK110"/>
  <c r="AF111"/>
  <c r="AE112"/>
  <c r="AI112"/>
  <c r="AL112" s="1"/>
  <c r="AG114"/>
  <c r="AM114" s="1"/>
  <c r="AN114" s="1"/>
  <c r="AP114" s="1"/>
  <c r="AK114"/>
  <c r="AF115"/>
  <c r="AE116"/>
  <c r="AI116"/>
  <c r="AL116" s="1"/>
  <c r="AG37"/>
  <c r="AM37" s="1"/>
  <c r="AN37" s="1"/>
  <c r="AP37" s="1"/>
  <c r="AG41"/>
  <c r="AM41" s="1"/>
  <c r="AN41" s="1"/>
  <c r="AP41" s="1"/>
  <c r="AG47"/>
  <c r="AM47" s="1"/>
  <c r="AN47" s="1"/>
  <c r="AP47" s="1"/>
  <c r="AE49"/>
  <c r="AM49" s="1"/>
  <c r="AN49" s="1"/>
  <c r="AP49" s="1"/>
  <c r="AG51"/>
  <c r="AM51" s="1"/>
  <c r="AN51" s="1"/>
  <c r="AP51" s="1"/>
  <c r="AG53"/>
  <c r="AE55"/>
  <c r="AE71" s="1"/>
  <c r="AG57"/>
  <c r="AM57" s="1"/>
  <c r="AN57" s="1"/>
  <c r="AP57" s="1"/>
  <c r="AE59"/>
  <c r="AM59" s="1"/>
  <c r="AN59" s="1"/>
  <c r="AP59" s="1"/>
  <c r="AG61"/>
  <c r="AE63"/>
  <c r="AM63" s="1"/>
  <c r="AN63" s="1"/>
  <c r="AP63" s="1"/>
  <c r="AG65"/>
  <c r="AM65" s="1"/>
  <c r="AN65" s="1"/>
  <c r="AP65" s="1"/>
  <c r="AE67"/>
  <c r="AM67" s="1"/>
  <c r="AN67" s="1"/>
  <c r="AP67" s="1"/>
  <c r="AG69"/>
  <c r="AM69" s="1"/>
  <c r="AN69" s="1"/>
  <c r="AP69" s="1"/>
  <c r="AE73"/>
  <c r="AE91" s="1"/>
  <c r="AG75"/>
  <c r="AM75" s="1"/>
  <c r="AN75" s="1"/>
  <c r="AP75" s="1"/>
  <c r="AE77"/>
  <c r="AM77" s="1"/>
  <c r="AN77" s="1"/>
  <c r="AP77" s="1"/>
  <c r="AG79"/>
  <c r="AE81"/>
  <c r="AM81" s="1"/>
  <c r="AN81" s="1"/>
  <c r="AP81" s="1"/>
  <c r="AG83"/>
  <c r="AM83" s="1"/>
  <c r="AN83" s="1"/>
  <c r="AP83" s="1"/>
  <c r="AE85"/>
  <c r="AM85" s="1"/>
  <c r="AN85" s="1"/>
  <c r="AP85" s="1"/>
  <c r="AG87"/>
  <c r="AM87" s="1"/>
  <c r="AN87" s="1"/>
  <c r="AP87" s="1"/>
  <c r="AE89"/>
  <c r="AM89" s="1"/>
  <c r="AN89" s="1"/>
  <c r="AP89" s="1"/>
  <c r="AG93"/>
  <c r="AM93" s="1"/>
  <c r="AN93" s="1"/>
  <c r="AP93" s="1"/>
  <c r="AE95"/>
  <c r="AM95" s="1"/>
  <c r="AN95" s="1"/>
  <c r="AP95" s="1"/>
  <c r="AG97"/>
  <c r="AG99"/>
  <c r="AG103" s="1"/>
  <c r="AE101"/>
  <c r="AM101" s="1"/>
  <c r="AN101" s="1"/>
  <c r="AP101" s="1"/>
  <c r="AG105"/>
  <c r="AM105" s="1"/>
  <c r="AN105" s="1"/>
  <c r="AP105" s="1"/>
  <c r="AE107"/>
  <c r="AG109"/>
  <c r="AM109" s="1"/>
  <c r="AN109" s="1"/>
  <c r="AP109" s="1"/>
  <c r="AE111"/>
  <c r="AM111" s="1"/>
  <c r="AN111" s="1"/>
  <c r="AP111" s="1"/>
  <c r="AG113"/>
  <c r="AE115"/>
  <c r="AG117"/>
  <c r="AM117" s="1"/>
  <c r="AN117" s="1"/>
  <c r="AP117" s="1"/>
  <c r="K28" i="44" l="1"/>
  <c r="K139"/>
  <c r="K171"/>
  <c r="AL103" i="43"/>
  <c r="AM30"/>
  <c r="AN30" s="1"/>
  <c r="AP30" s="1"/>
  <c r="AM10"/>
  <c r="AN10" s="1"/>
  <c r="AP10" s="1"/>
  <c r="AM26"/>
  <c r="AN26" s="1"/>
  <c r="AP26" s="1"/>
  <c r="AE118"/>
  <c r="AM104"/>
  <c r="AE98"/>
  <c r="AF118"/>
  <c r="AK118"/>
  <c r="AM108"/>
  <c r="AN108" s="1"/>
  <c r="AP108" s="1"/>
  <c r="AM86"/>
  <c r="AN86" s="1"/>
  <c r="AP86" s="1"/>
  <c r="AM60"/>
  <c r="AN60" s="1"/>
  <c r="AP60" s="1"/>
  <c r="AK98"/>
  <c r="AM44"/>
  <c r="AN44" s="1"/>
  <c r="AP44" s="1"/>
  <c r="AM99"/>
  <c r="AM34"/>
  <c r="AG33"/>
  <c r="AL50"/>
  <c r="AG71"/>
  <c r="AM112"/>
  <c r="AN112" s="1"/>
  <c r="AP112" s="1"/>
  <c r="AM90"/>
  <c r="AN90" s="1"/>
  <c r="AP90" s="1"/>
  <c r="AM74"/>
  <c r="AN74" s="1"/>
  <c r="AP74" s="1"/>
  <c r="AM64"/>
  <c r="AN64" s="1"/>
  <c r="AP64" s="1"/>
  <c r="AM50"/>
  <c r="AN50" s="1"/>
  <c r="AP50" s="1"/>
  <c r="AC119"/>
  <c r="AM53"/>
  <c r="AD119"/>
  <c r="AE103"/>
  <c r="AM31"/>
  <c r="AN31" s="1"/>
  <c r="AP31" s="1"/>
  <c r="AM23"/>
  <c r="AN23" s="1"/>
  <c r="AP23" s="1"/>
  <c r="AL21"/>
  <c r="AI91"/>
  <c r="AL38"/>
  <c r="AM38" s="1"/>
  <c r="AN38" s="1"/>
  <c r="AP38" s="1"/>
  <c r="AK33"/>
  <c r="AM15"/>
  <c r="AN15" s="1"/>
  <c r="AP15" s="1"/>
  <c r="AM73"/>
  <c r="AN73" s="1"/>
  <c r="AP73" s="1"/>
  <c r="AL39"/>
  <c r="AM39" s="1"/>
  <c r="AN39" s="1"/>
  <c r="AP39" s="1"/>
  <c r="AE33"/>
  <c r="AM16"/>
  <c r="AN16" s="1"/>
  <c r="AP16" s="1"/>
  <c r="AK21"/>
  <c r="AM11"/>
  <c r="AN11" s="1"/>
  <c r="AP11" s="1"/>
  <c r="AL6"/>
  <c r="AM6" s="1"/>
  <c r="AN6" s="1"/>
  <c r="AP6" s="1"/>
  <c r="AM116"/>
  <c r="AN116" s="1"/>
  <c r="AP116" s="1"/>
  <c r="AM96"/>
  <c r="AN96" s="1"/>
  <c r="AP96" s="1"/>
  <c r="AI98"/>
  <c r="AM78"/>
  <c r="AN78" s="1"/>
  <c r="AP78" s="1"/>
  <c r="AG91"/>
  <c r="AM68"/>
  <c r="AN68" s="1"/>
  <c r="AP68" s="1"/>
  <c r="AL91"/>
  <c r="AG118"/>
  <c r="AM55"/>
  <c r="AN55" s="1"/>
  <c r="AP55" s="1"/>
  <c r="AM40"/>
  <c r="AN40" s="1"/>
  <c r="AP40" s="1"/>
  <c r="AI33"/>
  <c r="AG13"/>
  <c r="AM46"/>
  <c r="AN46" s="1"/>
  <c r="AP46" s="1"/>
  <c r="AH13"/>
  <c r="AM4"/>
  <c r="AF13"/>
  <c r="AN14"/>
  <c r="AK91"/>
  <c r="AM72"/>
  <c r="AM43"/>
  <c r="AN43" s="1"/>
  <c r="AP43" s="1"/>
  <c r="AL92"/>
  <c r="AL98" s="1"/>
  <c r="AL56"/>
  <c r="AL71" s="1"/>
  <c r="S52"/>
  <c r="S119" s="1"/>
  <c r="AM7"/>
  <c r="AN7" s="1"/>
  <c r="AP7" s="1"/>
  <c r="AH21"/>
  <c r="AH119" s="1"/>
  <c r="AM42"/>
  <c r="AN42" s="1"/>
  <c r="AP42" s="1"/>
  <c r="AM102"/>
  <c r="AN102" s="1"/>
  <c r="AP102" s="1"/>
  <c r="AM82"/>
  <c r="AN82" s="1"/>
  <c r="AP82" s="1"/>
  <c r="AM56"/>
  <c r="AN56" s="1"/>
  <c r="AP56" s="1"/>
  <c r="AG98"/>
  <c r="AI118"/>
  <c r="AH52"/>
  <c r="AL22"/>
  <c r="AL33" s="1"/>
  <c r="AG52"/>
  <c r="AG21"/>
  <c r="K3" i="44" l="1"/>
  <c r="AN21" i="43"/>
  <c r="AP14"/>
  <c r="AP21" s="1"/>
  <c r="AM71"/>
  <c r="AN53"/>
  <c r="AF119"/>
  <c r="AM21"/>
  <c r="AK119"/>
  <c r="AL52"/>
  <c r="AL119" s="1"/>
  <c r="AL13"/>
  <c r="AM92"/>
  <c r="AN4"/>
  <c r="AM13"/>
  <c r="AM103"/>
  <c r="AN99"/>
  <c r="AE119"/>
  <c r="AN72"/>
  <c r="AM91"/>
  <c r="AM52"/>
  <c r="AN34"/>
  <c r="AM118"/>
  <c r="AN104"/>
  <c r="AG119"/>
  <c r="AI119"/>
  <c r="AM22"/>
  <c r="AN118" l="1"/>
  <c r="AP104"/>
  <c r="AP118" s="1"/>
  <c r="AN103"/>
  <c r="AP99"/>
  <c r="AP103" s="1"/>
  <c r="AM98"/>
  <c r="AN92"/>
  <c r="AN52"/>
  <c r="AP34"/>
  <c r="AP52" s="1"/>
  <c r="AP4"/>
  <c r="AP13" s="1"/>
  <c r="AN13"/>
  <c r="AN22"/>
  <c r="AM33"/>
  <c r="AM119" s="1"/>
  <c r="AN91"/>
  <c r="AP72"/>
  <c r="AP91" s="1"/>
  <c r="AP53"/>
  <c r="AP71" s="1"/>
  <c r="AN71"/>
  <c r="AN98" l="1"/>
  <c r="AN119" s="1"/>
  <c r="AP92"/>
  <c r="AP98" s="1"/>
  <c r="AP22"/>
  <c r="AP33" s="1"/>
  <c r="AN33"/>
  <c r="AP119"/>
  <c r="I3" i="42" l="1"/>
  <c r="I4"/>
  <c r="H5" i="41" l="1"/>
  <c r="H4"/>
  <c r="J191" i="40" l="1"/>
  <c r="J188"/>
  <c r="J182"/>
  <c r="J179"/>
  <c r="J175"/>
  <c r="J174"/>
  <c r="J173"/>
  <c r="J172"/>
  <c r="J171"/>
  <c r="J170"/>
  <c r="J169"/>
  <c r="J168"/>
  <c r="J167"/>
  <c r="J166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37"/>
  <c r="J176" s="1"/>
  <c r="J135"/>
  <c r="J134"/>
  <c r="I134"/>
  <c r="J133"/>
  <c r="J132"/>
  <c r="J131"/>
  <c r="J136" s="1"/>
  <c r="J129"/>
  <c r="J128"/>
  <c r="J127"/>
  <c r="J126"/>
  <c r="J125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I104"/>
  <c r="J104" s="1"/>
  <c r="J103"/>
  <c r="I103"/>
  <c r="J102"/>
  <c r="J101"/>
  <c r="J100"/>
  <c r="I99"/>
  <c r="J99" s="1"/>
  <c r="J98"/>
  <c r="I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130" s="1"/>
  <c r="J76"/>
  <c r="J75"/>
  <c r="J74"/>
  <c r="J73"/>
  <c r="J77" s="1"/>
  <c r="J71"/>
  <c r="J70"/>
  <c r="J69"/>
  <c r="J68"/>
  <c r="J67"/>
  <c r="J66"/>
  <c r="J65"/>
  <c r="J64"/>
  <c r="J63"/>
  <c r="J62"/>
  <c r="J61"/>
  <c r="J60"/>
  <c r="J59"/>
  <c r="J58"/>
  <c r="J57"/>
  <c r="J56"/>
  <c r="J55"/>
  <c r="J72" s="1"/>
  <c r="J53"/>
  <c r="J52"/>
  <c r="J50"/>
  <c r="J49"/>
  <c r="J48"/>
  <c r="J47"/>
  <c r="J46"/>
  <c r="J45"/>
  <c r="J42"/>
  <c r="J41"/>
  <c r="J40"/>
  <c r="J54" s="1"/>
  <c r="I38"/>
  <c r="J38" s="1"/>
  <c r="J37"/>
  <c r="J36"/>
  <c r="J35"/>
  <c r="J34"/>
  <c r="J33"/>
  <c r="J32"/>
  <c r="J31"/>
  <c r="J30"/>
  <c r="J29"/>
  <c r="J28"/>
  <c r="J27"/>
  <c r="J26"/>
  <c r="J39" s="1"/>
  <c r="J24"/>
  <c r="J23"/>
  <c r="J22"/>
  <c r="J21"/>
  <c r="J20"/>
  <c r="J19"/>
  <c r="J18"/>
  <c r="J17"/>
  <c r="J16"/>
  <c r="J15"/>
  <c r="J14"/>
  <c r="J13"/>
  <c r="J11"/>
  <c r="J10"/>
  <c r="H9"/>
  <c r="J8"/>
  <c r="J7"/>
  <c r="J6"/>
  <c r="J5"/>
  <c r="J25" s="1"/>
  <c r="J183" s="1"/>
  <c r="J4"/>
  <c r="J184" l="1"/>
  <c r="J192"/>
  <c r="K4" s="1"/>
  <c r="I29" i="39" l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30" l="1"/>
  <c r="H12" i="38"/>
  <c r="J11"/>
  <c r="I11"/>
  <c r="H11"/>
  <c r="G11"/>
  <c r="L10"/>
  <c r="L11" s="1"/>
  <c r="K10"/>
  <c r="K11" s="1"/>
  <c r="J10"/>
  <c r="K9"/>
  <c r="K12" s="1"/>
  <c r="I9"/>
  <c r="I12" s="1"/>
  <c r="H9"/>
  <c r="G9"/>
  <c r="G12" s="1"/>
  <c r="L8"/>
  <c r="J8"/>
  <c r="J7"/>
  <c r="L7" s="1"/>
  <c r="L6"/>
  <c r="J6"/>
  <c r="J5"/>
  <c r="L5" s="1"/>
  <c r="L4"/>
  <c r="J4"/>
  <c r="J3"/>
  <c r="L3" s="1"/>
  <c r="L9" l="1"/>
  <c r="L12"/>
  <c r="J9"/>
  <c r="J12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Q98" s="1"/>
  <c r="N101"/>
  <c r="N98" s="1"/>
  <c r="M101"/>
  <c r="M98" s="1"/>
  <c r="L101"/>
  <c r="L98" s="1"/>
  <c r="K101"/>
  <c r="K98" s="1"/>
  <c r="O100"/>
  <c r="J100"/>
  <c r="J98" s="1"/>
  <c r="I100"/>
  <c r="R99"/>
  <c r="R98" s="1"/>
  <c r="O99"/>
  <c r="P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<sst xmlns="http://schemas.openxmlformats.org/spreadsheetml/2006/main" count="15040" uniqueCount="2542">
  <si>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</si>
  <si>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</si>
  <si>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</si>
  <si>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</si>
  <si>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</si>
  <si>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</si>
  <si>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</si>
  <si>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</si>
  <si>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</si>
  <si>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</si>
  <si>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</si>
  <si>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</si>
  <si>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</si>
  <si>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</si>
  <si>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</si>
  <si>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</si>
  <si>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</si>
  <si>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</si>
  <si>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</si>
  <si>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</si>
  <si>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</si>
  <si>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</si>
  <si>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</si>
  <si>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</si>
  <si>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</si>
  <si>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</si>
  <si>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</si>
  <si>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</si>
  <si>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</si>
  <si>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</si>
  <si>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</si>
  <si>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</si>
  <si>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</si>
  <si>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</si>
  <si>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</si>
  <si>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</si>
  <si>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</si>
  <si>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</si>
  <si>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</si>
  <si>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</si>
  <si>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</si>
  <si>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</si>
  <si>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</si>
  <si>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</si>
  <si>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</si>
  <si>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</si>
  <si>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</si>
  <si>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</si>
  <si>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</si>
  <si>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</si>
  <si>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</si>
  <si>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</si>
  <si>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</si>
  <si>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</si>
  <si>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</si>
  <si>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</si>
  <si>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</si>
  <si>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</si>
  <si>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</si>
  <si>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</si>
  <si>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</si>
  <si>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</si>
  <si>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</si>
  <si>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</si>
  <si>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</si>
  <si>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</si>
  <si>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</si>
  <si>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</si>
  <si>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</si>
  <si>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</si>
  <si>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</si>
  <si>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</si>
  <si>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</si>
  <si>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</si>
  <si>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</si>
  <si>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</si>
  <si>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</si>
  <si>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</si>
  <si>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</si>
  <si>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</si>
  <si>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</si>
  <si>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</si>
  <si>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</si>
  <si>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</si>
  <si>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</si>
  <si>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</si>
  <si>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</si>
  <si>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</si>
  <si>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</si>
  <si>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</si>
  <si>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</si>
  <si>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</si>
  <si>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</si>
  <si>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</si>
  <si>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</si>
  <si>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</si>
  <si>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</si>
  <si>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</si>
  <si>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</si>
  <si>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</si>
  <si>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</si>
  <si>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</si>
  <si>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</si>
  <si>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</si>
  <si>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</si>
  <si>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</si>
  <si>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</si>
  <si>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</si>
  <si>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</si>
  <si>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</si>
  <si>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</si>
  <si>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</si>
  <si>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</si>
  <si>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</si>
  <si>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</si>
  <si>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</si>
  <si>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</si>
  <si>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</si>
  <si>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</si>
  <si>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</si>
  <si>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</si>
  <si>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</si>
  <si>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</si>
  <si>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</si>
  <si>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</si>
  <si>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</si>
  <si>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</si>
  <si>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</si>
  <si>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</si>
  <si>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</si>
  <si>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</si>
  <si>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</si>
  <si>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</si>
  <si>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</si>
  <si>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</si>
  <si>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</si>
  <si>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</si>
  <si>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</si>
  <si>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</si>
  <si>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</si>
  <si>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</si>
  <si>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</si>
  <si>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</si>
  <si>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</si>
  <si>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</si>
  <si>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</si>
  <si>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</si>
  <si>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</si>
  <si>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</si>
  <si>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</si>
  <si>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</si>
  <si>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</si>
  <si>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</si>
  <si>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</si>
  <si>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</si>
  <si>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</si>
  <si>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</si>
  <si>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</si>
  <si>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</si>
  <si>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</si>
  <si>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</si>
  <si>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</si>
  <si>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</si>
  <si>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</si>
  <si>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</si>
  <si>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</si>
  <si>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</si>
  <si>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</si>
  <si>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</si>
  <si>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</si>
  <si>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</si>
  <si>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</si>
  <si>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</si>
  <si>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</si>
  <si>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</si>
  <si>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</si>
  <si>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</si>
  <si>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</si>
  <si>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</si>
  <si>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</si>
  <si>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</si>
  <si>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</si>
  <si>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</si>
  <si>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</si>
  <si>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</si>
  <si>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</si>
  <si>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</si>
  <si>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</si>
  <si>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</si>
  <si>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</si>
  <si>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</si>
  <si>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</si>
  <si>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</si>
  <si>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</si>
  <si>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</si>
  <si>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</si>
  <si>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</si>
  <si>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</si>
  <si>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</si>
  <si>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</si>
  <si>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</si>
  <si>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</si>
  <si>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</si>
  <si>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</si>
  <si>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</si>
  <si>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</si>
  <si>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</si>
  <si>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</si>
  <si>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</si>
  <si>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</si>
  <si>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</si>
  <si>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</si>
  <si>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</si>
  <si>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</si>
  <si>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</si>
  <si>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</si>
  <si>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</si>
  <si>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</si>
  <si>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</si>
  <si>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</si>
  <si>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</si>
  <si>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</si>
  <si>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</si>
  <si>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</si>
  <si>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</si>
  <si>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</si>
  <si>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</si>
  <si>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</si>
  <si>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</si>
  <si>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</si>
  <si>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</si>
  <si>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</si>
  <si>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</si>
  <si>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</si>
  <si>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</si>
  <si>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</si>
  <si>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</si>
  <si>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</si>
  <si>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</si>
  <si>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</si>
  <si>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</si>
  <si>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</si>
  <si>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</si>
  <si>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</si>
  <si>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</si>
  <si>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</si>
  <si>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</si>
  <si>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</si>
  <si>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</si>
  <si>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</si>
  <si>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</si>
  <si>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</si>
  <si>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</si>
  <si>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</si>
  <si>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</si>
  <si>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</si>
  <si>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</si>
  <si>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</si>
  <si>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</si>
  <si>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</si>
  <si>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</si>
  <si>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</si>
  <si>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</si>
  <si>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</si>
  <si>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</si>
  <si>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</si>
  <si>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</si>
  <si>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</si>
  <si>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</si>
  <si>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</si>
  <si>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</si>
  <si>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</si>
  <si>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</si>
  <si>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</si>
  <si>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</si>
  <si>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</si>
  <si>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</si>
  <si>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</si>
  <si>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</si>
  <si>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</si>
  <si>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</si>
  <si>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</si>
  <si>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</si>
  <si>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</si>
  <si>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</si>
  <si>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</si>
  <si>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</si>
  <si>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</si>
  <si>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</si>
  <si>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</si>
  <si>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</si>
  <si>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</si>
  <si>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</si>
  <si>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</si>
  <si>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</si>
  <si>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</si>
  <si>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</si>
  <si>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</si>
  <si>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</si>
  <si>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</si>
  <si>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</si>
  <si>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</si>
  <si>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</si>
  <si>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</si>
  <si>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</si>
  <si>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</si>
  <si>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</si>
  <si>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</si>
  <si>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</si>
  <si>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</si>
  <si>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</si>
  <si>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</si>
  <si>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</si>
  <si>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</si>
  <si>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</si>
  <si>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</si>
  <si>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</si>
  <si>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</si>
  <si>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</si>
  <si>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</si>
  <si>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</si>
  <si>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</si>
  <si>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</si>
  <si>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</si>
  <si>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</si>
  <si>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</si>
  <si>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</si>
  <si>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</si>
  <si>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</si>
  <si>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</si>
  <si>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</si>
  <si>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</si>
  <si>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</si>
  <si>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</si>
  <si>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</si>
  <si>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</si>
  <si>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</si>
  <si>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</si>
  <si>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</si>
  <si>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</si>
  <si>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</si>
  <si>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</si>
  <si>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</si>
  <si>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</si>
  <si>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</si>
  <si>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</si>
  <si>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</si>
  <si>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</si>
  <si>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</si>
  <si>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</si>
  <si>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</si>
  <si>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</si>
  <si>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</si>
  <si>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</si>
  <si>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</si>
  <si>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</si>
  <si>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</si>
  <si>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</si>
  <si>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</si>
  <si>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</si>
  <si>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</si>
  <si>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</si>
  <si>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</si>
  <si>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</si>
  <si>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</si>
  <si>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</si>
  <si>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</si>
  <si>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</si>
  <si>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</si>
  <si>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</si>
  <si>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</si>
  <si>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</si>
  <si>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</si>
  <si>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</si>
  <si>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</si>
  <si>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</si>
  <si>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</si>
  <si>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</si>
  <si>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</si>
  <si>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</si>
  <si>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</si>
  <si>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</si>
  <si>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</si>
  <si>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</si>
  <si>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</si>
  <si>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</si>
  <si>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</si>
  <si>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</si>
  <si>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</si>
  <si>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</si>
  <si>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</si>
  <si>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</si>
  <si>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</si>
  <si>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</si>
  <si>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</si>
  <si>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</si>
  <si>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</si>
  <si>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</si>
  <si>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</si>
  <si>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</si>
  <si>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</si>
  <si>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</si>
  <si>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</si>
  <si>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</si>
  <si>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</si>
  <si>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</si>
  <si>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</si>
  <si>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</si>
  <si>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</si>
  <si>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</si>
  <si>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</si>
  <si>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</si>
  <si>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</si>
  <si>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</si>
  <si>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</si>
  <si>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</si>
  <si>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</si>
  <si>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</si>
  <si>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</si>
  <si>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</si>
  <si>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</si>
  <si>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</si>
  <si>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</si>
  <si>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</si>
  <si>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</si>
  <si>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</si>
  <si>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</si>
  <si>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</si>
  <si>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</si>
  <si>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</si>
  <si>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</si>
  <si>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</si>
  <si>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</si>
  <si>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</si>
  <si>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</si>
  <si>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</si>
  <si>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</si>
  <si>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</si>
  <si>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</si>
  <si>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</si>
  <si>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</si>
  <si>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</si>
  <si>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</si>
  <si>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</si>
  <si>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</si>
  <si>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</si>
  <si>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</si>
  <si>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</si>
  <si>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</si>
  <si>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</si>
  <si>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</si>
  <si>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</si>
  <si>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</si>
  <si>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</si>
  <si>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</si>
  <si>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</si>
  <si>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</si>
  <si>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</si>
  <si>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</si>
  <si>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</si>
  <si>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</si>
  <si>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</si>
  <si>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</si>
  <si>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</si>
  <si>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</si>
  <si>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</si>
  <si>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</si>
  <si>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</si>
  <si>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</si>
  <si>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</si>
  <si>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</si>
  <si>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</si>
  <si>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</si>
  <si>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</si>
  <si>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</si>
  <si>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</si>
  <si>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</si>
  <si>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</si>
  <si>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</si>
  <si>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</si>
  <si>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</si>
  <si>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</si>
  <si>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</si>
  <si>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</si>
  <si>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</si>
  <si>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</si>
  <si>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</si>
  <si>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</si>
  <si>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</si>
  <si>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</si>
  <si>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</si>
  <si>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</si>
  <si>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</si>
  <si>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</si>
  <si>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</si>
  <si>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</si>
  <si>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</si>
  <si>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</si>
  <si>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</si>
  <si>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</si>
  <si>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</si>
  <si>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</si>
  <si>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</si>
  <si>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</si>
  <si>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</si>
  <si>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</si>
  <si>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</si>
  <si>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</si>
  <si>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</si>
  <si>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</si>
  <si>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</si>
  <si>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</si>
  <si>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</si>
  <si>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</si>
  <si>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</si>
  <si>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</si>
  <si>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</si>
  <si>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</si>
  <si>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</si>
  <si>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</si>
  <si>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</si>
  <si>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</si>
  <si>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</si>
  <si>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</si>
  <si>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</si>
  <si>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</si>
  <si>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</si>
  <si>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</si>
  <si>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</si>
  <si>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</si>
  <si>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</si>
  <si>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</si>
  <si>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</si>
  <si>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</si>
  <si>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</si>
  <si>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</si>
  <si>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</si>
  <si>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</si>
  <si>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</si>
  <si>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</si>
  <si>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</si>
  <si>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</si>
  <si>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</si>
  <si>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</si>
  <si>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</si>
  <si>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</si>
  <si>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</si>
  <si>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</si>
  <si>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</si>
  <si>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</si>
  <si>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</si>
  <si>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</si>
  <si>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</si>
  <si>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</si>
  <si>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</si>
  <si>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</si>
  <si>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</si>
  <si>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</si>
  <si>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</si>
  <si>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</si>
  <si>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</si>
  <si>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</si>
  <si>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</si>
  <si>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</si>
  <si>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</si>
  <si>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</si>
  <si>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</si>
  <si>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</si>
  <si>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</si>
  <si>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</si>
  <si>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</si>
  <si>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</si>
  <si>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</si>
  <si>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</si>
  <si>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</si>
  <si>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</si>
  <si>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</si>
  <si>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</si>
  <si>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</si>
  <si>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</si>
  <si>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</si>
  <si>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</si>
  <si>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</si>
  <si>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</si>
  <si>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</si>
  <si>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</si>
  <si>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</si>
  <si>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</si>
  <si>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</si>
  <si>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</si>
  <si>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</si>
  <si>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</si>
  <si>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</si>
  <si>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</si>
  <si>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</si>
  <si>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</si>
  <si>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</si>
  <si>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</si>
  <si>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</si>
  <si>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</si>
  <si>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</si>
  <si>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</si>
  <si>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</si>
  <si>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</si>
  <si>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</si>
  <si>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</si>
  <si>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</si>
  <si>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</si>
  <si>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</si>
  <si>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</si>
  <si>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</si>
  <si>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</si>
  <si>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</si>
  <si>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</si>
  <si>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</si>
  <si>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</si>
  <si>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</si>
  <si>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</si>
  <si>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</si>
  <si>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</si>
  <si>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</si>
  <si>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</si>
  <si>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</si>
  <si>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</si>
  <si>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</si>
  <si>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</si>
  <si>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</si>
  <si>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</si>
  <si>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</si>
  <si>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</si>
  <si>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</si>
  <si>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</si>
  <si>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</si>
  <si>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</si>
  <si>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</si>
  <si>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</si>
  <si>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</si>
  <si>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</si>
  <si>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</si>
  <si>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</si>
  <si>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</si>
  <si>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</si>
  <si>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</si>
  <si>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</si>
  <si>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</si>
  <si>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</si>
  <si>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</si>
  <si>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</si>
  <si>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</si>
  <si>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</si>
  <si>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</si>
  <si>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</si>
  <si>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</si>
  <si>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</si>
  <si>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</si>
  <si>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</si>
  <si>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</si>
  <si>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</si>
  <si>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</si>
  <si>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</si>
  <si>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</si>
  <si>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</si>
  <si>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</si>
  <si>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</si>
  <si>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</si>
  <si>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</si>
  <si>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</si>
  <si>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</si>
  <si>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</si>
  <si>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</si>
  <si>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</si>
  <si>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</si>
  <si>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</si>
  <si>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</si>
  <si>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</si>
  <si>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</si>
  <si>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</si>
  <si>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</si>
  <si>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</si>
  <si>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</si>
  <si>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</si>
  <si>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</si>
  <si>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</si>
  <si>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</si>
  <si>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</si>
  <si>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</si>
  <si>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</si>
  <si>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</si>
  <si>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</si>
  <si>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</si>
  <si>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</si>
  <si>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</si>
  <si>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</si>
  <si>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</si>
  <si>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</si>
  <si>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</si>
  <si>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</si>
  <si>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</si>
  <si>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</si>
  <si>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</si>
  <si>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</si>
  <si>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</si>
  <si>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</si>
  <si>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</si>
  <si>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</si>
  <si>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</si>
  <si>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</si>
  <si>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</si>
  <si>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</si>
  <si>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</si>
  <si>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</si>
  <si>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</si>
  <si>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</si>
  <si>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</si>
  <si>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</si>
  <si>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</si>
  <si>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</si>
  <si>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</si>
  <si>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</si>
  <si>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</si>
  <si>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</si>
  <si>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</si>
  <si>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</si>
  <si>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</si>
  <si>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</si>
  <si>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</si>
  <si>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</si>
  <si>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</si>
  <si>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</si>
  <si>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</si>
  <si>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</si>
  <si>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</si>
  <si>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</si>
  <si>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</si>
  <si>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</si>
  <si>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</si>
  <si>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</si>
  <si>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</si>
  <si>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</si>
  <si>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</si>
  <si>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</si>
  <si>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</si>
  <si>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</si>
  <si>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</si>
  <si>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</si>
  <si>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</si>
  <si>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</si>
  <si>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</si>
  <si>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</si>
  <si>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</si>
  <si>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</si>
  <si>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</si>
  <si>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</si>
  <si>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</si>
  <si>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</si>
  <si>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</si>
  <si>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</si>
  <si>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</si>
  <si>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</si>
  <si>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</si>
  <si>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</si>
  <si>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</si>
  <si>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</si>
  <si>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</si>
  <si>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</si>
  <si>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</si>
  <si>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</si>
  <si>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</si>
  <si>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</si>
  <si>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</si>
  <si>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</si>
  <si>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</si>
  <si>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</si>
  <si>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</si>
  <si>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</si>
  <si>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</si>
  <si>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</si>
  <si>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</si>
  <si>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</si>
  <si>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</si>
  <si>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</si>
  <si>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</si>
  <si>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</si>
  <si>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</si>
  <si>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</si>
  <si>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</si>
  <si>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</si>
  <si>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</si>
  <si>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</si>
  <si>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</si>
  <si>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</si>
  <si>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</si>
  <si>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</si>
  <si>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</si>
  <si>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</si>
  <si>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</si>
  <si>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</si>
  <si>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</si>
  <si>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</si>
  <si>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</si>
  <si>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</si>
  <si>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</si>
  <si>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</si>
  <si>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</si>
  <si>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</si>
  <si>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</si>
  <si>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</si>
  <si>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</si>
  <si>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</si>
  <si>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</si>
  <si>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</si>
  <si>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</si>
  <si>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</si>
  <si>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</si>
  <si>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</si>
  <si>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</si>
  <si>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</si>
  <si>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</si>
  <si>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</si>
  <si>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</si>
  <si>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</si>
  <si>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</si>
  <si>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</si>
  <si>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</si>
  <si>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</si>
  <si>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</si>
  <si>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</si>
  <si>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</si>
  <si>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</si>
  <si>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</si>
  <si>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</si>
  <si>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</si>
  <si>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</si>
  <si>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</si>
  <si>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</si>
  <si>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</si>
  <si>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</si>
  <si>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</si>
  <si>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</si>
  <si>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</si>
  <si>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</si>
  <si>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</si>
  <si>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</si>
  <si>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</si>
  <si>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</si>
  <si>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</si>
  <si>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</si>
  <si>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</si>
  <si>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</si>
  <si>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</si>
  <si>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</si>
  <si>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</si>
  <si>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</si>
  <si>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</si>
  <si>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</si>
  <si>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</si>
  <si>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</si>
  <si>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</si>
  <si>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</si>
  <si>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</si>
  <si>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</si>
  <si>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</si>
  <si>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</si>
  <si>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</si>
  <si>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</si>
  <si>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</si>
  <si>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</si>
  <si>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</si>
  <si>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</si>
  <si>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</si>
  <si>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</si>
  <si>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</si>
  <si>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</si>
  <si>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</si>
  <si>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</si>
  <si>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</si>
  <si>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</si>
  <si>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</si>
  <si>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</si>
  <si>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</si>
  <si>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</si>
  <si>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</si>
  <si>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</si>
  <si>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</si>
  <si>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</si>
  <si>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</si>
  <si>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</si>
  <si>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</si>
  <si>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</si>
  <si>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</si>
  <si>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</si>
  <si>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</si>
  <si>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</si>
  <si>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</si>
  <si>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</si>
  <si>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</si>
  <si>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</si>
  <si>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</si>
  <si>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</si>
  <si>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</si>
  <si>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</si>
  <si>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</si>
  <si>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</si>
  <si>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</si>
  <si>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</si>
  <si>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</si>
  <si>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</si>
  <si>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</si>
  <si>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</si>
  <si>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</si>
  <si>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</si>
  <si>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</si>
  <si>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</si>
  <si>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</si>
  <si>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</si>
  <si>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</si>
  <si>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</si>
  <si>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</si>
  <si>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</si>
  <si>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</si>
  <si>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</si>
  <si>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</si>
  <si>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</si>
  <si>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</si>
  <si>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</si>
  <si>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</si>
  <si>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</si>
  <si>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</si>
  <si>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</si>
  <si>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</si>
  <si>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</si>
  <si>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</si>
  <si>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</si>
  <si>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</si>
  <si>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</si>
  <si>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</si>
  <si>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</si>
  <si>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</si>
  <si>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</si>
  <si>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</si>
  <si>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</si>
  <si>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</si>
  <si>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</si>
  <si>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</si>
  <si>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</si>
  <si>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</si>
  <si>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</si>
  <si>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</si>
  <si>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</si>
  <si>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</si>
  <si>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</si>
  <si>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</si>
  <si>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</si>
  <si>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</si>
  <si>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</si>
  <si>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</si>
  <si>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</si>
  <si>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</si>
  <si>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</si>
  <si>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</si>
  <si>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</si>
  <si>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</si>
  <si>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</si>
  <si>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</si>
  <si>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</si>
  <si>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</si>
  <si>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</si>
  <si>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</si>
  <si>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</si>
  <si>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</si>
  <si>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</si>
  <si>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</si>
  <si>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</si>
  <si>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</si>
  <si>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</si>
  <si>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</si>
  <si>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</si>
  <si>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</si>
  <si>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</si>
  <si>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</si>
  <si>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</si>
  <si>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</si>
  <si>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</si>
  <si>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</si>
  <si>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</si>
  <si>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</si>
  <si>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</si>
  <si>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</si>
  <si>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</si>
  <si>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</si>
  <si>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</si>
  <si>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</si>
  <si>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</si>
  <si>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</si>
  <si>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</si>
  <si>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</si>
  <si>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</si>
  <si>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</si>
  <si>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</si>
  <si>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</si>
  <si>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</si>
  <si>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</si>
  <si>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</si>
  <si>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</si>
  <si>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</si>
  <si>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</si>
  <si>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</si>
  <si>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</si>
  <si>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</si>
  <si>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</si>
  <si>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</si>
  <si>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</si>
  <si>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</si>
  <si>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</si>
  <si>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</si>
  <si>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</si>
  <si>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</si>
  <si>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</si>
  <si>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</si>
  <si>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</si>
  <si>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</si>
  <si>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</si>
  <si>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</si>
  <si>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</si>
  <si>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</si>
  <si>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</si>
  <si>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</si>
  <si>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</si>
  <si>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</si>
  <si>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</si>
  <si>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</si>
  <si>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</si>
  <si>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</si>
  <si>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</si>
  <si>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</si>
  <si>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</si>
  <si>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</si>
  <si>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</si>
  <si>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</si>
  <si>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</si>
  <si>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</si>
  <si>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</si>
  <si>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</si>
  <si>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</si>
  <si>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</si>
  <si>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</si>
  <si>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</si>
  <si>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</si>
  <si>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</si>
  <si>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</si>
  <si>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</si>
  <si>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</si>
  <si>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</si>
  <si>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</si>
  <si>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</si>
  <si>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</si>
  <si>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</si>
  <si>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</si>
  <si>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</si>
  <si>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</si>
  <si>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</si>
  <si>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</si>
  <si>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</si>
  <si>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</si>
  <si>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</si>
  <si>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</si>
  <si>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</si>
  <si>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</si>
  <si>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</si>
  <si>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</si>
  <si>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</si>
  <si>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</si>
  <si>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</si>
  <si>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</si>
  <si>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</si>
  <si>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</si>
  <si>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</si>
  <si>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</si>
  <si>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</si>
  <si>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</si>
  <si>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</si>
  <si>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</si>
  <si>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</si>
  <si>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</si>
  <si>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</si>
  <si>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</si>
  <si>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</si>
  <si>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</si>
  <si>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</si>
  <si>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</si>
  <si>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</si>
  <si>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</si>
  <si>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</si>
  <si>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</si>
  <si>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</si>
  <si>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</si>
  <si>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</si>
  <si>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</si>
  <si>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</si>
  <si>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</si>
  <si>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</si>
  <si>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</si>
  <si>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</si>
  <si>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</si>
  <si>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</si>
  <si>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</si>
  <si>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</si>
  <si>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</si>
  <si>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</si>
  <si>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</si>
  <si>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</si>
  <si>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</si>
  <si>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</si>
  <si>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</si>
  <si>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</si>
  <si>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</si>
  <si>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</si>
  <si>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</si>
  <si>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</si>
  <si>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</si>
  <si>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</si>
  <si>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</si>
  <si>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</si>
  <si>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</si>
  <si>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</si>
  <si>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</si>
  <si>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</si>
  <si>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</si>
  <si>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</si>
  <si>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</si>
  <si>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</si>
  <si>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</si>
  <si>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</si>
  <si>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</si>
  <si>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</si>
  <si>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</si>
  <si>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</si>
  <si>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</si>
  <si>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</si>
  <si>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</si>
  <si>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</si>
  <si>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</si>
  <si>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</si>
  <si>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</si>
  <si>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</si>
  <si>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</si>
  <si>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</si>
  <si>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</si>
  <si>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</si>
  <si>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</si>
  <si>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</si>
  <si>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</si>
  <si>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</si>
  <si>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</si>
  <si>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</si>
  <si>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</si>
  <si>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</si>
  <si>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</si>
  <si>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</si>
  <si>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</si>
  <si>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</si>
  <si>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</si>
  <si>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</si>
  <si>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</si>
  <si>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</si>
  <si>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</si>
  <si>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</si>
  <si>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</si>
  <si>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</si>
  <si>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</si>
  <si>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</si>
  <si>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</si>
  <si>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</si>
  <si>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</si>
  <si>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</si>
  <si>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</si>
  <si>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</si>
  <si>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</si>
  <si>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</si>
  <si>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</si>
  <si>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</si>
  <si>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</si>
  <si>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</si>
  <si>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</si>
  <si>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</si>
  <si>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</si>
  <si>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</si>
  <si>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</si>
  <si>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</si>
  <si>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</si>
  <si>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</si>
  <si>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</si>
  <si>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</si>
  <si>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</si>
  <si>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</si>
  <si>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</si>
  <si>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</si>
  <si>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</si>
  <si>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</si>
  <si>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</si>
  <si>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</si>
  <si>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</si>
  <si>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</si>
  <si>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</si>
  <si>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</si>
  <si>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</si>
  <si>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</si>
  <si>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</si>
  <si>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</si>
  <si>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</si>
  <si>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</si>
  <si>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</si>
  <si>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</si>
  <si>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</si>
  <si>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</si>
  <si>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</si>
  <si>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</si>
  <si>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</si>
  <si>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</si>
  <si>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</si>
  <si>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</si>
  <si>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</si>
  <si>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</si>
  <si>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</si>
  <si>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</si>
  <si>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</si>
  <si>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</si>
  <si>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</si>
  <si>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</si>
  <si>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</si>
  <si>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</si>
  <si>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</si>
  <si>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</si>
  <si>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</si>
  <si>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</si>
  <si>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</si>
  <si>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</si>
  <si>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</si>
  <si>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</si>
  <si>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</si>
  <si>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</si>
  <si>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</si>
  <si>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</si>
  <si>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</si>
  <si>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</si>
  <si>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</si>
  <si>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</si>
  <si>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</si>
  <si>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</si>
  <si>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</si>
  <si>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</si>
  <si>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</si>
  <si>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</si>
  <si>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</si>
  <si>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</si>
  <si>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</si>
  <si>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</si>
  <si>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</si>
  <si>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</si>
  <si>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</si>
  <si>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</si>
  <si>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</si>
  <si>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</si>
  <si>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</si>
  <si>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</si>
  <si>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</si>
  <si>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</si>
  <si>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</si>
  <si>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</si>
  <si>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</si>
  <si>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</si>
  <si>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</si>
  <si>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</si>
  <si>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</si>
  <si>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</si>
  <si>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</si>
  <si>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</si>
  <si>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</si>
  <si>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</si>
  <si>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</si>
  <si>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</si>
  <si>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</si>
  <si>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</si>
  <si>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</si>
  <si>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</si>
  <si>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</si>
  <si>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</si>
  <si>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</si>
  <si>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</si>
  <si>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</si>
  <si>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</si>
  <si>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</si>
  <si>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</si>
  <si>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</si>
  <si>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</si>
  <si>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</si>
  <si>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</si>
  <si>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</si>
  <si>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</si>
  <si>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</si>
  <si>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</si>
  <si>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</si>
  <si>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</si>
  <si>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</si>
  <si>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</si>
  <si>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</si>
  <si>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</si>
  <si>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</si>
  <si>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</si>
  <si>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</si>
  <si>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</si>
  <si>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</si>
  <si>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</si>
  <si>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</si>
  <si>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</si>
  <si>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</si>
  <si>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</si>
  <si>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</si>
  <si>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</si>
  <si>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</si>
  <si>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</si>
  <si>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</si>
  <si>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</si>
  <si>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</si>
  <si>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</si>
  <si>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</si>
  <si>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</si>
  <si>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</si>
  <si>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</si>
  <si>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</si>
  <si>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</si>
  <si>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</si>
  <si>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</si>
  <si>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</si>
  <si>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</si>
  <si>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</si>
  <si>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</si>
  <si>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</si>
  <si>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</si>
  <si>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</si>
  <si>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</si>
  <si>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</si>
  <si>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</si>
  <si>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</si>
  <si>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</si>
  <si>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</si>
  <si>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</si>
  <si>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</si>
  <si>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</si>
  <si>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</si>
  <si>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</si>
  <si>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</si>
  <si>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</si>
  <si>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</si>
  <si>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</si>
  <si>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</si>
  <si>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</si>
  <si>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</si>
  <si>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</si>
  <si>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</si>
  <si>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</si>
  <si>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</si>
  <si>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</si>
  <si>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</si>
  <si>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</si>
  <si>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</si>
  <si>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</si>
  <si>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</si>
  <si>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</si>
  <si>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</si>
  <si>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</si>
  <si>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</si>
  <si>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</si>
  <si>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</si>
  <si>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</si>
  <si>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</si>
  <si>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</si>
  <si>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</si>
  <si>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</si>
  <si>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</si>
  <si>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</si>
  <si>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</si>
  <si>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</si>
  <si>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</si>
  <si>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</si>
  <si>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</si>
  <si>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</si>
  <si>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</si>
  <si>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</si>
  <si>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</si>
  <si>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</si>
  <si>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</si>
  <si>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</si>
  <si>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</si>
  <si>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</si>
  <si>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</si>
  <si>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</si>
  <si>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</si>
  <si>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</si>
  <si>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</si>
  <si>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</si>
  <si>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</si>
  <si>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</si>
  <si>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</si>
  <si>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</si>
  <si>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</si>
  <si>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</si>
  <si>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</si>
  <si>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</si>
  <si>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</si>
  <si>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</si>
  <si>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</si>
  <si>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</si>
  <si>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</si>
  <si>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</si>
  <si>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</si>
  <si>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</si>
  <si>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</si>
  <si>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</si>
  <si>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</si>
  <si>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</si>
  <si>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</si>
  <si>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</si>
  <si>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</si>
  <si>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</si>
  <si>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</si>
  <si>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</si>
  <si>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</si>
  <si>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</si>
  <si>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</si>
  <si>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</si>
  <si>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</si>
  <si>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</si>
  <si>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</si>
  <si>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</si>
  <si>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</si>
  <si>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</si>
  <si>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</si>
  <si>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</si>
  <si>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</si>
  <si>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</si>
  <si>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</si>
  <si>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</si>
  <si>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</si>
  <si>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</si>
  <si>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</si>
  <si>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</si>
  <si>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</si>
  <si>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</si>
  <si>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</si>
  <si>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</si>
  <si>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</si>
  <si>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</si>
  <si>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</si>
  <si>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</si>
  <si>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</si>
  <si>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</si>
  <si>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</si>
  <si>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</si>
  <si>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</si>
  <si>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</si>
  <si>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</si>
  <si>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</si>
  <si>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</si>
  <si>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</si>
  <si>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</si>
  <si>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</si>
  <si>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</si>
  <si>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</si>
  <si>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</si>
  <si>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</si>
  <si>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</si>
  <si>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</si>
  <si>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</si>
  <si>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</si>
  <si>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</si>
  <si>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</si>
  <si>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</si>
  <si>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</si>
  <si>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</si>
  <si>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</si>
  <si>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</si>
  <si>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</si>
  <si>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</si>
  <si>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</si>
  <si>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</si>
  <si>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</si>
  <si>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</si>
  <si>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</si>
  <si>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</si>
  <si>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</si>
  <si>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</si>
  <si>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</si>
  <si>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</si>
  <si>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</si>
  <si>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</si>
  <si>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</si>
  <si>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</si>
  <si>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</si>
  <si>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</si>
  <si>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</si>
  <si>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</si>
  <si>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</si>
  <si>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</si>
  <si>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</si>
  <si>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</si>
  <si>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</si>
  <si>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</si>
  <si>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</si>
  <si>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</si>
  <si>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</si>
  <si>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</si>
  <si>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</si>
  <si>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</si>
  <si>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</si>
  <si>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</si>
  <si>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</si>
  <si>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</si>
  <si>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</si>
  <si>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</si>
  <si>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</si>
  <si>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</si>
  <si>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</si>
  <si>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</si>
  <si>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</si>
  <si>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</si>
  <si>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</si>
  <si>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</si>
  <si>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</si>
  <si>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</si>
  <si>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</si>
  <si>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</si>
  <si>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</si>
  <si>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</si>
  <si>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</si>
  <si>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</si>
  <si>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</si>
  <si>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</si>
  <si>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</si>
  <si>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</si>
  <si>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</si>
  <si>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</si>
  <si>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</si>
  <si>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</si>
  <si>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</si>
  <si>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</si>
  <si>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</si>
  <si>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</si>
  <si>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</si>
  <si>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</si>
  <si>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</si>
  <si>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</si>
  <si>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</si>
  <si>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</si>
  <si>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</si>
  <si>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</si>
  <si>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</si>
  <si>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</si>
  <si>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</si>
  <si>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</si>
  <si>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</si>
  <si>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</si>
  <si>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</si>
  <si>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</si>
  <si>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</si>
  <si>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</si>
  <si>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</si>
  <si>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</si>
  <si>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</si>
  <si>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</si>
  <si>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</si>
  <si>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</si>
  <si>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</si>
  <si>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</si>
  <si>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</si>
  <si>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</si>
  <si>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</si>
  <si>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</si>
  <si>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</si>
  <si>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</si>
  <si>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</si>
  <si>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</si>
  <si>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</si>
  <si>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</si>
  <si>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</si>
  <si>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</si>
  <si>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</si>
  <si>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</si>
  <si>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</si>
  <si>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</si>
  <si>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</si>
  <si>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</si>
  <si>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</si>
  <si>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</si>
  <si>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</si>
  <si>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</si>
  <si>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</si>
  <si>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</si>
  <si>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</si>
  <si>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</si>
  <si>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</si>
  <si>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</si>
  <si>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</si>
  <si>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</si>
  <si>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</si>
  <si>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</si>
  <si>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</si>
  <si>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</si>
  <si>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</si>
  <si>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</si>
  <si>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</si>
  <si>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</si>
  <si>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</si>
  <si>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</si>
  <si>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</si>
  <si>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</si>
  <si>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</si>
  <si>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</si>
  <si>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</si>
  <si>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</si>
  <si>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</si>
  <si>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</si>
  <si>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</si>
  <si>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</si>
  <si>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</si>
  <si>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</si>
  <si>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</si>
  <si>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</si>
  <si>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</si>
  <si>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</si>
  <si>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</si>
  <si>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</si>
  <si>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</si>
  <si>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</si>
  <si>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</si>
  <si>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</si>
  <si>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</si>
  <si>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</si>
  <si>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</si>
  <si>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</si>
  <si>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</si>
  <si>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</si>
  <si>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</si>
  <si>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</si>
  <si>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</si>
  <si>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</si>
  <si>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</si>
  <si>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</si>
  <si>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</si>
  <si>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</si>
  <si>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</si>
  <si>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</si>
  <si>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</si>
  <si>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</si>
  <si>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</si>
  <si>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</si>
  <si>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</si>
  <si>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</si>
  <si>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</si>
  <si>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</si>
  <si>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</si>
  <si>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</si>
  <si>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</si>
  <si>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</si>
  <si>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</si>
  <si>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</si>
  <si>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</si>
  <si>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</si>
  <si>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</si>
  <si>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</si>
  <si>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</si>
  <si>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</si>
  <si>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</si>
  <si>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</si>
  <si>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</si>
  <si>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</si>
  <si>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</si>
  <si>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</si>
  <si>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</si>
  <si>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</si>
  <si>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</si>
  <si>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</si>
  <si>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</si>
  <si>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</si>
  <si>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</si>
  <si>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</si>
  <si>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</si>
  <si>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</si>
  <si>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</si>
  <si>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</si>
  <si>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</si>
  <si>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</si>
  <si>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</si>
  <si>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</si>
  <si>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</si>
  <si>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</si>
  <si>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</si>
  <si>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</si>
  <si>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</si>
  <si>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</si>
  <si>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</si>
  <si>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</si>
  <si>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</si>
  <si>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</si>
  <si>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</si>
  <si>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</si>
  <si>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</si>
  <si>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</si>
  <si>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</si>
  <si>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</si>
  <si>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</si>
  <si>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</si>
  <si>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</si>
  <si>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</si>
  <si>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</si>
  <si>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</si>
  <si>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</si>
  <si>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</si>
  <si>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</si>
  <si>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</si>
  <si>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</si>
  <si>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</si>
  <si>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</si>
  <si>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</si>
  <si>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</si>
  <si>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</si>
  <si>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</si>
  <si>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</si>
  <si>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</si>
  <si>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</si>
  <si>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</si>
  <si>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</si>
  <si>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</si>
  <si>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</si>
  <si>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</si>
  <si>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</si>
  <si>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</si>
  <si>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</si>
  <si>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</si>
  <si>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</si>
  <si>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</si>
  <si>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</si>
  <si>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</si>
  <si>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</si>
  <si>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</si>
  <si>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</si>
  <si>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</si>
  <si>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</si>
  <si>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</si>
  <si>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</si>
  <si>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</si>
  <si>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</si>
  <si>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</si>
  <si>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</si>
  <si>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</si>
  <si>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</si>
  <si>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</si>
  <si>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</si>
  <si>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</si>
  <si>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</si>
  <si>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</si>
  <si>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</si>
  <si>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</si>
  <si>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</si>
  <si>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</si>
  <si>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</si>
  <si>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</si>
  <si>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</si>
  <si>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</si>
  <si>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</si>
  <si>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</si>
  <si>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</si>
  <si>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</si>
  <si>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</si>
  <si>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</si>
  <si>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</si>
  <si>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</si>
  <si>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</si>
  <si>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</si>
  <si>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</si>
  <si>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</si>
  <si>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</si>
  <si>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</si>
  <si>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</si>
  <si>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</si>
  <si>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</si>
  <si>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</si>
  <si>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</si>
  <si>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</si>
  <si>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</si>
  <si>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</si>
  <si>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</si>
  <si>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</si>
  <si>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</si>
  <si>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</si>
  <si>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</si>
  <si>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</si>
  <si>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</si>
  <si>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</si>
  <si>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</si>
  <si>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</si>
  <si>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</si>
  <si>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</si>
  <si>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</si>
  <si>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</si>
  <si>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</si>
  <si>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</si>
  <si>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</si>
  <si>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</si>
  <si>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</si>
  <si>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</si>
  <si>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</si>
  <si>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</si>
  <si>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</si>
  <si>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</si>
  <si>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</si>
  <si>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</si>
  <si>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</si>
  <si>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</si>
  <si>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</si>
  <si>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</si>
  <si>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</si>
  <si>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</si>
  <si>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</si>
  <si>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新选址1号基地E5-06地块幼儿园</t>
  </si>
  <si>
    <t>浦江镇</t>
  </si>
  <si>
    <t>浦航路70号</t>
  </si>
  <si>
    <t>拓展基地06-05地块幼儿园</t>
  </si>
  <si>
    <t>永高路225号</t>
  </si>
  <si>
    <t>鲁汇基地04-02地块幼儿园</t>
  </si>
  <si>
    <t>鲁康路475号</t>
  </si>
  <si>
    <t>鲁汇基地14-01地块初中</t>
  </si>
  <si>
    <t>汇延路30号</t>
  </si>
  <si>
    <t>拓展基地08-04地块初中</t>
  </si>
  <si>
    <t>鲁康路1248号</t>
  </si>
  <si>
    <t>拓展基地43-06地块小学</t>
  </si>
  <si>
    <t>闸航路4048号</t>
  </si>
  <si>
    <t>君莲H地块幼儿园</t>
  </si>
  <si>
    <t>颛桥镇</t>
    <phoneticPr fontId="60" type="noConversion"/>
  </si>
  <si>
    <t>沪光路365号</t>
  </si>
  <si>
    <t>收回2022年预算</t>
    <phoneticPr fontId="60" type="noConversion"/>
  </si>
  <si>
    <t>2023年闵行区镇管未开办学校经费预算表（按支付进度2023.1-8月）</t>
    <phoneticPr fontId="60" type="noConversion"/>
  </si>
  <si>
    <r>
      <t>闵行区浦江文馨学校搬迁设备预算明细表（调整稿）</t>
    </r>
    <r>
      <rPr>
        <b/>
        <sz val="14"/>
        <color indexed="8"/>
        <rFont val="Times New Roman"/>
        <family val="1"/>
      </rPr>
      <t xml:space="preserve"> </t>
    </r>
  </si>
  <si>
    <t>规格型号或数量单位</t>
  </si>
  <si>
    <t>金额（元）</t>
  </si>
  <si>
    <t>上海闵行区浦江文馨学校</t>
  </si>
  <si>
    <t>信息设备</t>
  </si>
  <si>
    <t>校园广播设备</t>
  </si>
  <si>
    <t>控制主机、户外防水音柱等设备</t>
  </si>
  <si>
    <t>老学校搬迁新学校适当增加控制主机、户外防水音柱等设备</t>
  </si>
  <si>
    <t>校园网络设备</t>
  </si>
  <si>
    <t>交换机等设备</t>
  </si>
  <si>
    <t>老学校搬迁新学校适当增加交换机等设备</t>
  </si>
  <si>
    <t>校园网络拆装调试</t>
  </si>
  <si>
    <t>拆装调试布线</t>
  </si>
  <si>
    <t>老学校移设备新学校原设备拆除，清运，复原安装，调试</t>
  </si>
  <si>
    <t>校园安防设备</t>
  </si>
  <si>
    <t>校门红外报警监控等设备</t>
  </si>
  <si>
    <t>老学校搬迁新学校适当增加红外和电子围栏、监控等设备</t>
  </si>
  <si>
    <t>食堂设备</t>
  </si>
  <si>
    <t>增加灶台排风设备</t>
  </si>
  <si>
    <t>老学校移设备新学校原设备拆除，安装，增加部分等设备</t>
  </si>
  <si>
    <t>煤气移表费</t>
  </si>
  <si>
    <t>煤气排管费</t>
  </si>
  <si>
    <t>煤气报警器</t>
  </si>
  <si>
    <t>4探头</t>
  </si>
  <si>
    <t>收放移动剧场桌椅</t>
  </si>
  <si>
    <t>原剧场椅为阶梯固定式，添置100移动桌、300移动椅</t>
  </si>
  <si>
    <t>后书写板</t>
  </si>
  <si>
    <t>学习园地组合栏</t>
  </si>
  <si>
    <t>4000*1200</t>
  </si>
  <si>
    <t>原有经过2019年搬迁已散架</t>
  </si>
  <si>
    <t>多媒体讲台</t>
  </si>
  <si>
    <t>可放置多媒体设备</t>
  </si>
  <si>
    <t>1200*700*900</t>
  </si>
  <si>
    <t>少先队室会议桌</t>
  </si>
  <si>
    <t>可拼装式</t>
  </si>
  <si>
    <t>少先队材料柜</t>
  </si>
  <si>
    <t>实验柜</t>
  </si>
  <si>
    <t>1200*2400*600</t>
  </si>
  <si>
    <t>学生课桌椅</t>
  </si>
  <si>
    <t>学生课桌</t>
  </si>
  <si>
    <t>600*400升降式</t>
  </si>
  <si>
    <t>原有破旧不堪，增加部分等设备</t>
  </si>
  <si>
    <t>体育器材</t>
  </si>
  <si>
    <t>室内篮球架</t>
  </si>
  <si>
    <t>安装在体育馆墙上</t>
  </si>
  <si>
    <t>室外篮球架及护套</t>
  </si>
  <si>
    <t>安装在篮球场</t>
  </si>
  <si>
    <t>云梯</t>
  </si>
  <si>
    <t>操场</t>
  </si>
  <si>
    <t>双杠</t>
  </si>
  <si>
    <t>高低杠</t>
  </si>
  <si>
    <t>肋木架</t>
  </si>
  <si>
    <t>电器设备</t>
  </si>
  <si>
    <t>空调</t>
  </si>
  <si>
    <t>剧场空调</t>
  </si>
  <si>
    <t>3匹</t>
  </si>
  <si>
    <t>新的剧场需要10台3P的空调，老学校剧场有6个空调可以搬迁过去，缺4台</t>
  </si>
  <si>
    <t>综合实验室空调</t>
  </si>
  <si>
    <t>原实验室没有增加</t>
  </si>
  <si>
    <t>吊扇</t>
  </si>
  <si>
    <t>普通教室、专用教室、食堂、办公室、会议室等</t>
  </si>
  <si>
    <t>原校舍吊扇搬迁后还缺60个吊扇需要单独购买</t>
  </si>
  <si>
    <t>教育城域网接入</t>
  </si>
  <si>
    <t>老学校搬迁新学校适当增加设备</t>
  </si>
  <si>
    <t>电梯</t>
  </si>
  <si>
    <t>教学楼电梯</t>
  </si>
  <si>
    <t>设备搬迁拆装调试</t>
  </si>
  <si>
    <t>老学校搬迁拆装新学校设备搬迁拆装调试</t>
  </si>
  <si>
    <t>鲁康路1248号校舍修缮工程细化表（文馨小学）</t>
    <phoneticPr fontId="60" type="noConversion"/>
  </si>
  <si>
    <t>审核情况</t>
  </si>
  <si>
    <t>8折下达</t>
    <phoneticPr fontId="60" type="noConversion"/>
  </si>
  <si>
    <t>鲁康路1248号校舍修缮工程</t>
  </si>
  <si>
    <t>二次装修</t>
  </si>
  <si>
    <t>环跑13厚塑胶跑道面层</t>
  </si>
  <si>
    <t>环跑13厚塑胶跑道盖板</t>
  </si>
  <si>
    <t>篮球场盖板</t>
  </si>
  <si>
    <t>篮球场8厚PU面层</t>
  </si>
  <si>
    <t>器械场地成品塑胶</t>
  </si>
  <si>
    <t>运动场地天然草改仿真草坪</t>
  </si>
  <si>
    <t>整体绿化补种、修整、搬迁</t>
  </si>
  <si>
    <t>株</t>
  </si>
  <si>
    <t>非机动车雨棚</t>
  </si>
  <si>
    <t>入口东侧非机动车位改机动车位</t>
  </si>
  <si>
    <t>行政办公楼</t>
  </si>
  <si>
    <t>4F</t>
  </si>
  <si>
    <t>拆除轻质砖墙
（6间合并3间）</t>
  </si>
  <si>
    <t>墙面涂料破损处修缮</t>
  </si>
  <si>
    <t>顶面涂料破损处修缮</t>
  </si>
  <si>
    <t>矿棉板吊顶破损处修缮</t>
  </si>
  <si>
    <t>木地板破损处修缮+配套踢脚</t>
  </si>
  <si>
    <t>会议室、走廊矿棉板吊顶</t>
  </si>
  <si>
    <t>会议室矿棉板吊顶</t>
  </si>
  <si>
    <t>走廊矿棉板吊顶</t>
  </si>
  <si>
    <t>原学生社团地板换地砖+瓷砖踢脚</t>
  </si>
  <si>
    <t>1-3F</t>
  </si>
  <si>
    <t>行政办公连廊处还原原有电梯坑位（拆除电梯门洞处墙体）</t>
  </si>
  <si>
    <t>木地板破损处修缮</t>
  </si>
  <si>
    <t>舞台加高加宽（原舞台尺寸为L10.9m*W3m*H400）
加踏步木地板</t>
  </si>
  <si>
    <t xml:space="preserve">舞台加高加宽加踏步
（现舞台尺寸约为L12.8m*W4.7m*H600）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</si>
  <si>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舞台木地板</t>
  </si>
  <si>
    <t xml:space="preserve">新做灯具（平板灯、LED硬灯条、灯带） </t>
  </si>
  <si>
    <t>平板灯</t>
  </si>
  <si>
    <t>LED硬灯条</t>
  </si>
  <si>
    <t>LED灯带</t>
  </si>
  <si>
    <t>控制室增加观察窗</t>
  </si>
  <si>
    <t>原出入口玻璃双开门改外开（五金件更换）
含铰链、闭门器等</t>
  </si>
  <si>
    <t>更衣室新开门洞</t>
  </si>
  <si>
    <t>新开门洞</t>
  </si>
  <si>
    <t>新做门</t>
  </si>
  <si>
    <t>顶面铝扣板吊顶</t>
  </si>
  <si>
    <t>地面自流平</t>
  </si>
  <si>
    <t>地面PVC卷材</t>
  </si>
  <si>
    <t>墙面吸音板</t>
  </si>
  <si>
    <t>餐厅整体修缮</t>
  </si>
  <si>
    <t>顶面涂料修缮</t>
  </si>
  <si>
    <t>墙面涂料修缮</t>
  </si>
  <si>
    <t>墙面瓷砖修缮</t>
  </si>
  <si>
    <t>地面地砖修缮</t>
  </si>
  <si>
    <t>洗手池拆除换新</t>
  </si>
  <si>
    <t>风扇电源线布置预留</t>
  </si>
  <si>
    <t>挂钩打孔安装
（风扇挂钩含电源）</t>
  </si>
  <si>
    <t>厨房整体修缮</t>
  </si>
  <si>
    <t>顶面铝扣板修缮</t>
  </si>
  <si>
    <t>地面原有排水渠盖板修缮更换</t>
  </si>
  <si>
    <t>门锁等五金件更换</t>
  </si>
  <si>
    <t>出餐口改造</t>
  </si>
  <si>
    <t>拆除原有出餐口</t>
  </si>
  <si>
    <t>墙体砌筑（H=700mm）</t>
  </si>
  <si>
    <t>新砌墙体表面新作瓷砖</t>
  </si>
  <si>
    <t>600mm宽人造石台面</t>
  </si>
  <si>
    <t>出菜口铝合金
隔断玻璃窗</t>
  </si>
  <si>
    <t>风雨操场</t>
  </si>
  <si>
    <t>楼梯扶手除锈</t>
  </si>
  <si>
    <t>木龙骨+实木地板+配套踢脚</t>
  </si>
  <si>
    <t>专业教学楼</t>
  </si>
  <si>
    <t>1F</t>
  </si>
  <si>
    <t>新砌墙体新刷墙面涂料</t>
  </si>
  <si>
    <t>新砌墙新做墙面墙裙</t>
  </si>
  <si>
    <t>地面地砖破损处修缮</t>
  </si>
  <si>
    <t>地面修补剂修补原有地面洞（直径100mm）</t>
  </si>
  <si>
    <t>新砌墙体</t>
  </si>
  <si>
    <t>新建窗</t>
  </si>
  <si>
    <t>卫生间调整</t>
  </si>
  <si>
    <t>局部调整</t>
  </si>
  <si>
    <t>台盆移位置</t>
  </si>
  <si>
    <t>厕位增加</t>
  </si>
  <si>
    <t>更换铝合金窗</t>
  </si>
  <si>
    <t>新建木门</t>
  </si>
  <si>
    <t>窗台新作不锈钢栏杆（200mm高）</t>
  </si>
  <si>
    <t>2F</t>
  </si>
  <si>
    <t>地面地砖破损处修补</t>
  </si>
  <si>
    <t>台盆移位置调整</t>
  </si>
  <si>
    <t>窗台新作不锈钢栏杆</t>
  </si>
  <si>
    <t>3F</t>
  </si>
  <si>
    <t>墙面吸音板（舞蹈教室）</t>
  </si>
  <si>
    <t>墙面镜子</t>
  </si>
  <si>
    <t>镜面基层板</t>
  </si>
  <si>
    <t>把杆</t>
  </si>
  <si>
    <t>综合实验室加水槽（L2000mm*W600mm*H700mm）</t>
  </si>
  <si>
    <t>新做地面架高基础面饰木地板</t>
  </si>
  <si>
    <t>舞蹈教室地面</t>
  </si>
  <si>
    <t>美术教室地面</t>
  </si>
  <si>
    <t>新做地面架高基础防静电地板（计算机教室）</t>
  </si>
  <si>
    <t>3F强电调整</t>
  </si>
  <si>
    <t>墙面吸音板（舞蹈教室）（含隔音棉及轻钢龙骨基层）</t>
  </si>
  <si>
    <t>墙面吸音板（音乐教室）（含隔音棉及轻钢龙骨基层）</t>
  </si>
  <si>
    <t>地面新做复合木地板</t>
  </si>
  <si>
    <t>4F强电调整</t>
  </si>
  <si>
    <t>1、2F</t>
  </si>
  <si>
    <t>1F、2F强电调整</t>
  </si>
  <si>
    <t>教学楼一、二修缮</t>
  </si>
  <si>
    <t>墙砖墙裙破损处修缮</t>
  </si>
  <si>
    <t>台盆换新（50%）</t>
  </si>
  <si>
    <t>零星费用</t>
  </si>
  <si>
    <t>入口门头改造</t>
  </si>
  <si>
    <t>不锈钢电镀铭牌字体
主题大字（约800mm*800mm大小字体)</t>
  </si>
  <si>
    <t>不锈钢电镀铭牌字体
辅助英文小字</t>
  </si>
  <si>
    <t>铭牌底座钢结构基础
（含水泥找平等造型）</t>
  </si>
  <si>
    <t>铭牌处底座铝板面层制作</t>
  </si>
  <si>
    <t>门卫室南侧荣誉墙</t>
  </si>
  <si>
    <t>消防指示灯修补、灯光门锁等更换</t>
  </si>
  <si>
    <t>消防指示灯修补等</t>
  </si>
  <si>
    <t>灯具更换</t>
  </si>
  <si>
    <t>门锁等更换</t>
  </si>
  <si>
    <t>下水管道修缮</t>
  </si>
  <si>
    <t>水泵房设备修理增设</t>
  </si>
  <si>
    <t>校舍屋面及沉降缝、水管渗漏修理等零星项目</t>
  </si>
  <si>
    <t>校舍屋面及沉降缝</t>
  </si>
  <si>
    <t>水管渗漏修理等</t>
  </si>
  <si>
    <t>垃圾房改造</t>
  </si>
  <si>
    <t>卷帘门（高2400mmx宽3000mm）</t>
  </si>
  <si>
    <t>新增坡道（长4500mmx宽6500mm）</t>
  </si>
  <si>
    <t>新增扶手栏杆</t>
  </si>
  <si>
    <t>领操台改造</t>
  </si>
  <si>
    <t>领操台高度降低
（至800mm高）</t>
  </si>
  <si>
    <t>不锈钢栏杆拆除新建
（前矮后高1100mm高）</t>
  </si>
  <si>
    <t>领操台墙面墙砖修补</t>
  </si>
  <si>
    <t>领操台地面地砖新做</t>
  </si>
  <si>
    <t>前楼梯拆除改后方楼梯上</t>
  </si>
  <si>
    <t>室外花岗岩修补及入口缓坡</t>
  </si>
  <si>
    <t>室外花岗岩修补</t>
  </si>
  <si>
    <t>行政办公楼无障碍坡道</t>
  </si>
  <si>
    <t>入口进入处高低差找平，两侧缓坡设置（约18米）</t>
  </si>
  <si>
    <t>学校入口域修补修缮</t>
  </si>
  <si>
    <t>门卫室外侧墙面修缮</t>
  </si>
  <si>
    <t>入口处墙面修缮</t>
  </si>
  <si>
    <t>连廊区域修补、修缮</t>
  </si>
  <si>
    <t>风雨操场室外区域修补</t>
  </si>
  <si>
    <t>地面地砖防滑处理</t>
  </si>
  <si>
    <t>食堂室外等区域修补</t>
  </si>
  <si>
    <t>维修费</t>
  </si>
  <si>
    <t>电气维修费</t>
  </si>
  <si>
    <t>低压出线柜维修（指示灯更换9个）</t>
  </si>
  <si>
    <t>/</t>
  </si>
  <si>
    <t>AH3变压柜维修（3个表坏）</t>
  </si>
  <si>
    <t>消防维修费</t>
  </si>
  <si>
    <t>腐蚀阀门更换</t>
  </si>
  <si>
    <t>消防泵控制柜</t>
  </si>
  <si>
    <t>增压泵控制柜</t>
  </si>
  <si>
    <t>建安费</t>
  </si>
  <si>
    <t>二类费</t>
  </si>
  <si>
    <t>检测费</t>
  </si>
  <si>
    <t>场地检测费（1）</t>
  </si>
  <si>
    <t>塑胶场地检测</t>
  </si>
  <si>
    <t>篮球场场地检测</t>
  </si>
  <si>
    <t>场地检测费（2）</t>
  </si>
  <si>
    <t>人工草坪检测费用</t>
  </si>
  <si>
    <t>电预试检测费</t>
  </si>
  <si>
    <t>三相变压器系统调试、母线、避雷器、电缆、断路器、接地网、五防回路等13项内容</t>
  </si>
  <si>
    <t>消防检测费</t>
  </si>
  <si>
    <t>室内消火栓检测、室外消火栓检测等8项内容</t>
  </si>
  <si>
    <t>总投资</t>
  </si>
  <si>
    <t>浦江</t>
    <phoneticPr fontId="4" type="noConversion"/>
  </si>
  <si>
    <t>闵行区浦江镇教育委员会</t>
  </si>
  <si>
    <t xml:space="preserve">世外合作项目 </t>
  </si>
  <si>
    <t xml:space="preserve">初中学校携手共进计划 </t>
  </si>
  <si>
    <t>引进优质资源</t>
  </si>
  <si>
    <t xml:space="preserve">世外教育集团托管费 </t>
  </si>
  <si>
    <t>2023年镇级单位中小学教育教学项目（普教二科）</t>
    <phoneticPr fontId="3" type="noConversion"/>
  </si>
  <si>
    <t>镇属</t>
    <phoneticPr fontId="3" type="noConversion"/>
  </si>
  <si>
    <t>数量</t>
    <phoneticPr fontId="3" type="noConversion"/>
  </si>
  <si>
    <t>单价</t>
    <phoneticPr fontId="3" type="noConversion"/>
  </si>
  <si>
    <t>金额</t>
    <phoneticPr fontId="3" type="noConversion"/>
  </si>
  <si>
    <t>备注</t>
    <phoneticPr fontId="3" type="noConversion"/>
  </si>
  <si>
    <t>性质</t>
    <phoneticPr fontId="3" type="noConversion"/>
  </si>
  <si>
    <t>莘庄</t>
    <phoneticPr fontId="3" type="noConversion"/>
  </si>
  <si>
    <t>黎安实验幼儿园</t>
    <phoneticPr fontId="3" type="noConversion"/>
  </si>
  <si>
    <t>关闭</t>
    <phoneticPr fontId="3" type="noConversion"/>
  </si>
  <si>
    <t>莘庄合计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</si>
  <si>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</si>
  <si>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</si>
  <si>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</si>
  <si>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</si>
  <si>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</si>
  <si>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</si>
  <si>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</si>
  <si>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</si>
  <si>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</si>
  <si>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闵行区虹鹿幼儿园</t>
  </si>
  <si>
    <t>义务</t>
    <phoneticPr fontId="3" type="noConversion"/>
  </si>
  <si>
    <t>闵行区虹桥小学</t>
  </si>
  <si>
    <t>虹桥合计</t>
  </si>
  <si>
    <t>闵行区华漕镇金色幼儿园</t>
  </si>
  <si>
    <t>闵行区诸翟中心幼儿园</t>
  </si>
  <si>
    <t>华漕合计</t>
  </si>
  <si>
    <t>闵行区马桥实验幼儿园</t>
  </si>
  <si>
    <t>闵行区马桥富杰幼儿园</t>
  </si>
  <si>
    <t>闵行区马桥启英幼儿园</t>
  </si>
  <si>
    <t>闵行区马桥实验学校</t>
    <phoneticPr fontId="3" type="noConversion"/>
  </si>
  <si>
    <t>闵行区马桥强恕学校</t>
  </si>
  <si>
    <t>马桥富卓幼儿园</t>
  </si>
  <si>
    <t>马桥富国幼儿园</t>
  </si>
  <si>
    <t>马桥合计</t>
  </si>
  <si>
    <t>闵行区晶采坊幼儿园</t>
  </si>
  <si>
    <t>闵行区晶华坊幼儿园</t>
  </si>
  <si>
    <t>闵行区罗阳河畔幼儿园</t>
  </si>
  <si>
    <t>闵行区春申景城幼儿园</t>
  </si>
  <si>
    <t>闵行区曹行中心小学</t>
  </si>
  <si>
    <t>闵行区曹行中学（金都)</t>
    <phoneticPr fontId="3" type="noConversion"/>
  </si>
  <si>
    <t>复旦实验</t>
    <phoneticPr fontId="3" type="noConversion"/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</si>
  <si>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</si>
  <si>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</si>
  <si>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</si>
  <si>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</si>
  <si>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</si>
  <si>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闵行区浦江镇第二幼儿园</t>
  </si>
  <si>
    <t>上戏附校</t>
    <phoneticPr fontId="3" type="noConversion"/>
  </si>
  <si>
    <t>闵行区浦江二中</t>
  </si>
  <si>
    <t>闵行区浦江三中</t>
  </si>
  <si>
    <t>闵行区浦航二中</t>
  </si>
  <si>
    <t>闵行区浦航幼儿园</t>
  </si>
  <si>
    <t>闵行区浦江汇秀小学</t>
  </si>
  <si>
    <t>闵行区浦江瑞和城幼儿园</t>
  </si>
  <si>
    <t>闵行区浦江闸航路幼儿园</t>
  </si>
  <si>
    <t>世外浦江学校</t>
  </si>
  <si>
    <t>上师大附中</t>
    <phoneticPr fontId="3" type="noConversion"/>
  </si>
  <si>
    <t>浦瑞幼儿园</t>
  </si>
  <si>
    <t>浦江合计</t>
  </si>
  <si>
    <t>闵行区春欣幼儿园</t>
  </si>
  <si>
    <t>闵行区七宝实验幼儿园</t>
  </si>
  <si>
    <t>闵行区星辰幼儿园</t>
  </si>
  <si>
    <t>闵行区航华二幼</t>
  </si>
  <si>
    <t>闵行区航华二小</t>
  </si>
  <si>
    <t>七宝启英宝盛幼儿园</t>
    <phoneticPr fontId="3" type="noConversion"/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</si>
  <si>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</si>
  <si>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</si>
  <si>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</si>
  <si>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</si>
  <si>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</si>
  <si>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闵行区友爱实验中学</t>
  </si>
  <si>
    <t>永德实验小学</t>
  </si>
  <si>
    <t>闵行区康城幼儿园</t>
  </si>
  <si>
    <t>莘庄合计</t>
  </si>
  <si>
    <t>闵行区君莲幼儿园</t>
  </si>
  <si>
    <t>闵行区颛桥镇第一幼儿园</t>
  </si>
  <si>
    <t>闵行区颛桥镇幼儿园</t>
  </si>
  <si>
    <t>闵行区田园第二外语实验小学</t>
  </si>
  <si>
    <t>田园外国语中学</t>
  </si>
  <si>
    <t>田园都市幼儿园</t>
  </si>
  <si>
    <t>颛桥第二幼儿园</t>
  </si>
  <si>
    <t>颛桥合计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</si>
  <si>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</si>
  <si>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</si>
  <si>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</si>
  <si>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</si>
  <si>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</si>
  <si>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</si>
  <si>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</si>
  <si>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上海市闵行区诸翟学校 汇总</t>
  </si>
  <si>
    <t>华漕镇</t>
  </si>
  <si>
    <t>2023年镇管扩班设备</t>
  </si>
  <si>
    <t>课桌椅</t>
  </si>
  <si>
    <t>学生储物柜</t>
  </si>
  <si>
    <t>80寸及以上交互式智能黑板</t>
  </si>
  <si>
    <t>上海市闵行区华漕学校 汇总</t>
  </si>
  <si>
    <t>上海市闵行区华漕镇金色幼儿园 汇总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</si>
  <si>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</si>
  <si>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</si>
  <si>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</si>
  <si>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</si>
  <si>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</si>
  <si>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</si>
  <si>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</si>
  <si>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</si>
  <si>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</si>
  <si>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</si>
  <si>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</si>
  <si>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</si>
  <si>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</si>
  <si>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</si>
  <si>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</si>
  <si>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</si>
  <si>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</si>
  <si>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</si>
  <si>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上海市闵行区七宝文来学校 汇总</t>
  </si>
  <si>
    <t>七宝镇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</si>
  <si>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</si>
  <si>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</si>
  <si>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</si>
  <si>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</si>
  <si>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</si>
  <si>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</si>
  <si>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上海市七宝实验中学 汇总</t>
  </si>
  <si>
    <t>上海市闵行区七宝第二中学 汇总</t>
  </si>
  <si>
    <t>推拉式书写板</t>
  </si>
  <si>
    <t>80寸及以上交互式智能一体电子白板</t>
  </si>
  <si>
    <t>上海市航华中学 汇总</t>
  </si>
  <si>
    <t>上海市闵行区七宝明强第二小 汇总</t>
  </si>
  <si>
    <t>上海市闵行区七宝明强第二小</t>
  </si>
  <si>
    <t>70寸及以上交互式智能一体机</t>
  </si>
  <si>
    <t>闵行区七宝镇明强小学 汇总</t>
  </si>
  <si>
    <t>上海市七宝实验小学 汇总</t>
  </si>
  <si>
    <t>上海市闵行区春欣幼儿园 汇总</t>
  </si>
  <si>
    <t>幼儿床</t>
  </si>
  <si>
    <t>木质、可固定或叠放收藏</t>
  </si>
  <si>
    <t>嵌入式空调5匹</t>
  </si>
  <si>
    <t>嵌入式空调3匹</t>
  </si>
  <si>
    <t>上海市闵行区七宝明强幼儿园 汇总</t>
  </si>
  <si>
    <t>办公橱</t>
  </si>
  <si>
    <t>上海市闵行区启英宝盛幼儿园 汇总</t>
  </si>
  <si>
    <t>上海市龙柏中学 汇总</t>
  </si>
  <si>
    <t>虹桥镇</t>
  </si>
  <si>
    <t>闵行区龙柏第一小学 汇总</t>
  </si>
  <si>
    <t>莘庄镇 汇总</t>
  </si>
  <si>
    <t>上海市明星学校 汇总</t>
  </si>
  <si>
    <t>莘庄镇</t>
  </si>
  <si>
    <t>上海市明星学校</t>
  </si>
  <si>
    <t>教室展示板</t>
  </si>
  <si>
    <t>上海市闵行区佳佳中心幼儿园 汇总</t>
  </si>
  <si>
    <t>上海市闵行区佳佳中心幼儿园</t>
  </si>
  <si>
    <t>梅陇镇</t>
  </si>
  <si>
    <t>上海中医药大学附属闵行晶城中学 汇总</t>
  </si>
  <si>
    <t>上海市罗阳中学 汇总</t>
  </si>
  <si>
    <t>上海市闵行区晶华坊幼儿园分园 汇总</t>
  </si>
  <si>
    <t>上海市闵行区晶华坊幼儿园分园</t>
  </si>
  <si>
    <t>上海市闵行区梅陇永联幼儿园 汇总</t>
  </si>
  <si>
    <t>上海世外教育附属浦江外国语学校 汇总</t>
  </si>
  <si>
    <t>上海市闵行区浦航实验中学 汇总</t>
  </si>
  <si>
    <t>上海市闵行区浦江第二中学 汇总</t>
  </si>
  <si>
    <t>上海市闵行区浦江第三中学 汇总</t>
  </si>
  <si>
    <t>上海师范大学附属中学闵行实验学校 汇总</t>
  </si>
  <si>
    <t>上海市闵行区浦江第二小学 汇总</t>
  </si>
  <si>
    <t>上海市闵行区浦汇小学 汇总</t>
  </si>
  <si>
    <t>教室空调5匹</t>
  </si>
  <si>
    <t>上海市闵行区福山实验学校 汇总</t>
  </si>
  <si>
    <t>上海市闵行区福山实验学校</t>
  </si>
  <si>
    <t>上海市闵行区浦江宝邸幼儿园 汇总</t>
  </si>
  <si>
    <t>上海市闵行区浦莲幼儿园 汇总</t>
  </si>
  <si>
    <t>上海市闵行区浦航幼儿园 汇总</t>
  </si>
  <si>
    <t>上海市闵行区浦江瑞和城幼儿园 汇总</t>
  </si>
  <si>
    <t>上海市闵行区浦瑞幼儿园 汇总</t>
  </si>
  <si>
    <t>华东师范大学闵行永德实验小学 汇总</t>
  </si>
  <si>
    <t>吴泾镇</t>
  </si>
  <si>
    <t>教室空调2匹</t>
  </si>
  <si>
    <t>上海交通大学附属闵行马桥实验学校 汇总</t>
  </si>
  <si>
    <t>马桥镇</t>
  </si>
  <si>
    <t>上海市闵行区马桥复旦万科实验中学 汇总</t>
  </si>
  <si>
    <t>上海市闵行区马桥文来外国语小学 汇总</t>
  </si>
  <si>
    <t>上海市闵行区田园外国语中学 汇总</t>
  </si>
  <si>
    <t>颛桥镇</t>
  </si>
  <si>
    <t>上海市闵行区田园第二外国语实验小学 汇总</t>
  </si>
  <si>
    <t>上海市闵行区田园第二外国语实验小学</t>
  </si>
  <si>
    <t>上海市闵行区颛桥镇第二幼儿园 汇总</t>
  </si>
  <si>
    <t>教师算机</t>
  </si>
  <si>
    <t>历年附加承担</t>
    <phoneticPr fontId="3" type="noConversion"/>
  </si>
  <si>
    <t>规格型号</t>
  </si>
  <si>
    <r>
      <t>2023</t>
    </r>
    <r>
      <rPr>
        <b/>
        <sz val="14"/>
        <color indexed="8"/>
        <rFont val="宋体"/>
        <family val="3"/>
        <charset val="134"/>
      </rPr>
      <t>年闵行区教育系统设备专项申报明细表</t>
    </r>
    <phoneticPr fontId="3" type="noConversion"/>
  </si>
  <si>
    <t>浦江镇合计</t>
    <phoneticPr fontId="3" type="noConversion"/>
  </si>
  <si>
    <t>扩班取消</t>
    <phoneticPr fontId="3" type="noConversion"/>
  </si>
  <si>
    <t>上海师范大学附属中学闵行实验学校</t>
    <phoneticPr fontId="3" type="noConversion"/>
  </si>
  <si>
    <t>2023年镇管扩班设备</t>
    <phoneticPr fontId="3" type="noConversion"/>
  </si>
  <si>
    <t>区报镇管扩班设备</t>
    <phoneticPr fontId="3" type="noConversion"/>
  </si>
  <si>
    <t>短焦投影仪</t>
    <phoneticPr fontId="3" type="noConversion"/>
  </si>
  <si>
    <t>区报追加设备</t>
    <phoneticPr fontId="3" type="noConversion"/>
  </si>
  <si>
    <t>场地设施升级行动</t>
    <phoneticPr fontId="3" type="noConversion"/>
  </si>
  <si>
    <t>场地设施升级设备</t>
    <phoneticPr fontId="3" type="noConversion"/>
  </si>
  <si>
    <t>体质检测教室设备</t>
    <phoneticPr fontId="3" type="noConversion"/>
  </si>
  <si>
    <t>体育中考设备</t>
    <phoneticPr fontId="3" type="noConversion"/>
  </si>
  <si>
    <t>浦航实中</t>
  </si>
  <si>
    <t>2023年镇级单位中小学教育教学项目（普教一科）</t>
    <phoneticPr fontId="3" type="noConversion"/>
  </si>
  <si>
    <t>体育课程</t>
    <phoneticPr fontId="3" type="noConversion"/>
  </si>
  <si>
    <t>上师附中实验</t>
  </si>
  <si>
    <t>跨学科学习空间</t>
    <phoneticPr fontId="3" type="noConversion"/>
  </si>
  <si>
    <t>姓名</t>
  </si>
  <si>
    <t>合计</t>
    <phoneticPr fontId="4" type="noConversion"/>
  </si>
  <si>
    <t>学校性质</t>
  </si>
  <si>
    <r>
      <rPr>
        <sz val="12"/>
        <rFont val="宋体"/>
        <family val="3"/>
        <charset val="134"/>
      </rPr>
      <t>用地面积[m</t>
    </r>
    <r>
      <rPr>
        <vertAlign val="superscript"/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]</t>
    </r>
  </si>
  <si>
    <r>
      <rPr>
        <sz val="12"/>
        <rFont val="宋体"/>
        <family val="3"/>
        <charset val="134"/>
      </rPr>
      <t>建筑面积[m</t>
    </r>
    <r>
      <rPr>
        <vertAlign val="superscript"/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]</t>
    </r>
  </si>
  <si>
    <r>
      <rPr>
        <sz val="12"/>
        <rFont val="宋体"/>
        <family val="3"/>
        <charset val="134"/>
      </rPr>
      <t>绿化面积[m</t>
    </r>
    <r>
      <rPr>
        <vertAlign val="superscript"/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]</t>
    </r>
  </si>
  <si>
    <t>管理现状</t>
  </si>
  <si>
    <t>绿化养护费用（元/年）</t>
  </si>
  <si>
    <t>暂由浦江镇管理</t>
  </si>
  <si>
    <t>拓展基地44-02地块幼儿园</t>
  </si>
  <si>
    <t>永跃路19号</t>
  </si>
  <si>
    <t>已移交</t>
  </si>
  <si>
    <t>鲁汇基地15-12地块幼儿园</t>
  </si>
  <si>
    <t>鲁宁路120号</t>
  </si>
  <si>
    <t>第3季度移交</t>
  </si>
  <si>
    <t>暂由浦江镇管理，已确定为上海师范大学附属中学闵行实验学校小学部，开办时间不确定</t>
  </si>
  <si>
    <t>拓展基地03-02地块幼儿园</t>
  </si>
  <si>
    <t>永颂路440号</t>
  </si>
  <si>
    <t>空置</t>
  </si>
  <si>
    <t>中标价</t>
    <phoneticPr fontId="3" type="noConversion"/>
  </si>
  <si>
    <t>合计</t>
    <phoneticPr fontId="3" type="noConversion"/>
  </si>
  <si>
    <t>9-12月</t>
    <phoneticPr fontId="3" type="noConversion"/>
  </si>
  <si>
    <t>2023年局管闵行区空置校舍经费预算表</t>
    <phoneticPr fontId="3" type="noConversion"/>
  </si>
  <si>
    <t>录用单位</t>
  </si>
  <si>
    <t>镇属</t>
    <phoneticPr fontId="3" type="noConversion"/>
  </si>
  <si>
    <t>教师类型</t>
  </si>
  <si>
    <t>学校阶段</t>
  </si>
  <si>
    <t>金额
（8~12月）</t>
    <phoneticPr fontId="3" type="noConversion"/>
  </si>
  <si>
    <t>储备教师</t>
  </si>
  <si>
    <t>金佳妮</t>
  </si>
  <si>
    <t>浦江镇</t>
    <phoneticPr fontId="3" type="noConversion"/>
  </si>
  <si>
    <t>张慧婷</t>
  </si>
  <si>
    <t>姚俊杰</t>
  </si>
  <si>
    <t>束辰灵</t>
  </si>
  <si>
    <t>杨瑜婕</t>
  </si>
  <si>
    <t>张睿婕</t>
  </si>
  <si>
    <t>徐佳青</t>
  </si>
  <si>
    <t>徐智艳</t>
  </si>
  <si>
    <t>高琪</t>
  </si>
  <si>
    <t>常笑</t>
  </si>
  <si>
    <t>康如意</t>
  </si>
  <si>
    <t>苏文怡</t>
  </si>
  <si>
    <t>张心怡</t>
  </si>
  <si>
    <t>张治军</t>
  </si>
  <si>
    <t>金千雨</t>
  </si>
  <si>
    <t>王亦磊</t>
  </si>
  <si>
    <t>孙烨雯</t>
  </si>
  <si>
    <t>张旭辰</t>
  </si>
  <si>
    <t>陈婷</t>
  </si>
  <si>
    <t>潘彧爕</t>
  </si>
  <si>
    <t>盛心诚</t>
  </si>
  <si>
    <t>顾中昊</t>
  </si>
  <si>
    <t>卢伟婷</t>
  </si>
  <si>
    <t>何天翔</t>
  </si>
  <si>
    <t>王占梅</t>
  </si>
  <si>
    <t>侯霖霜</t>
  </si>
  <si>
    <t>朱丁</t>
  </si>
  <si>
    <t>李晓晓</t>
  </si>
  <si>
    <t>姚璐</t>
  </si>
  <si>
    <t>沈露敏</t>
  </si>
  <si>
    <t>孙蒻雨</t>
  </si>
  <si>
    <t>姚依婷</t>
  </si>
  <si>
    <t>2023年储备教师预算（8-12月）</t>
    <phoneticPr fontId="3" type="noConversion"/>
  </si>
  <si>
    <t>一次分配</t>
    <phoneticPr fontId="4" type="noConversion"/>
  </si>
  <si>
    <t>四次分配</t>
    <phoneticPr fontId="4" type="noConversion"/>
  </si>
  <si>
    <t>　　　　　　(1)上下班交通费补贴</t>
    <phoneticPr fontId="4" type="noConversion"/>
  </si>
  <si>
    <t>　　　　1、工伤保险费0.5%</t>
    <phoneticPr fontId="4" type="noConversion"/>
  </si>
  <si>
    <t>根据社保口径按实编制</t>
    <phoneticPr fontId="4" type="noConversion"/>
  </si>
  <si>
    <t>　　　　2、失业保险0.5%</t>
    <phoneticPr fontId="4" type="noConversion"/>
  </si>
  <si>
    <t>根据人保科数字编制</t>
    <phoneticPr fontId="4" type="noConversion"/>
  </si>
  <si>
    <t>　　　　3、工作餐补贴</t>
    <phoneticPr fontId="4" type="noConversion"/>
  </si>
  <si>
    <t>　　　　4、课后服务(在编人员）</t>
    <phoneticPr fontId="4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</si>
  <si>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4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</si>
  <si>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4" type="noConversion"/>
  </si>
  <si>
    <t>根据相关口径按实编制</t>
    <phoneticPr fontId="4" type="noConversion"/>
  </si>
  <si>
    <t>　　　　1、基本养老保险16%</t>
    <phoneticPr fontId="4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</si>
  <si>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4" type="noConversion"/>
  </si>
  <si>
    <t>根据人事口径按实编制</t>
    <phoneticPr fontId="4" type="noConversion"/>
  </si>
  <si>
    <t xml:space="preserve">    其他工资福利</t>
    <phoneticPr fontId="4" type="noConversion"/>
  </si>
  <si>
    <t>年初预算为0</t>
    <phoneticPr fontId="4" type="noConversion"/>
  </si>
  <si>
    <t>　　　　1、护理费</t>
    <phoneticPr fontId="4" type="noConversion"/>
  </si>
  <si>
    <t>　　　　2、交通费</t>
    <phoneticPr fontId="4" type="noConversion"/>
  </si>
  <si>
    <t>　　　　3、其他补贴</t>
    <phoneticPr fontId="4" type="noConversion"/>
  </si>
  <si>
    <t xml:space="preserve">    退休费</t>
    <phoneticPr fontId="4" type="noConversion"/>
  </si>
  <si>
    <t>根据退休人员情况按实编制</t>
    <phoneticPr fontId="4" type="noConversion"/>
  </si>
  <si>
    <t xml:space="preserve">        1、退休人员生活补贴</t>
    <phoneticPr fontId="4" type="noConversion"/>
  </si>
  <si>
    <t>　　　　1、其他</t>
    <phoneticPr fontId="4" type="noConversion"/>
  </si>
  <si>
    <t xml:space="preserve">       其中：培训费</t>
    <phoneticPr fontId="4" type="noConversion"/>
  </si>
  <si>
    <t>主款项</t>
    <phoneticPr fontId="4" type="noConversion"/>
  </si>
  <si>
    <t>生均定额5%</t>
    <phoneticPr fontId="4" type="noConversion"/>
  </si>
  <si>
    <t>教职工人数*400元标准内按实填列</t>
    <phoneticPr fontId="4" type="noConversion"/>
  </si>
  <si>
    <t>房屋面积*15元标准内按实填列</t>
    <phoneticPr fontId="4" type="noConversion"/>
  </si>
  <si>
    <t>绿化面积*8元标准内按实填列</t>
    <phoneticPr fontId="4" type="noConversion"/>
  </si>
  <si>
    <t>　　(五)福利费</t>
    <phoneticPr fontId="4" type="noConversion"/>
  </si>
  <si>
    <t>　　　　1、在职福利费</t>
    <phoneticPr fontId="4" type="noConversion"/>
  </si>
  <si>
    <t>教职工人数*4320元</t>
    <phoneticPr fontId="4" type="noConversion"/>
  </si>
  <si>
    <t>　　　　2、离退休福利费</t>
    <phoneticPr fontId="4" type="noConversion"/>
  </si>
  <si>
    <t>离退休人数*4320元</t>
    <phoneticPr fontId="4" type="noConversion"/>
  </si>
  <si>
    <t>　　(六)工会经费</t>
    <phoneticPr fontId="4" type="noConversion"/>
  </si>
  <si>
    <t>根据工会口径按实编制</t>
    <phoneticPr fontId="4" type="noConversion"/>
  </si>
  <si>
    <t>　　(七)公务用车运行维护费★</t>
    <phoneticPr fontId="4" type="noConversion"/>
  </si>
  <si>
    <t>机关局有编制的车辆数*32000元/年标准内填列（分园及分校预算在其他交通费中编制）</t>
    <phoneticPr fontId="4" type="noConversion"/>
  </si>
  <si>
    <t>　　(八)其他商品和服务支出</t>
    <phoneticPr fontId="4" type="noConversion"/>
  </si>
  <si>
    <t>　　　　1、离退休公用支出</t>
    <phoneticPr fontId="4" type="noConversion"/>
  </si>
  <si>
    <t>离退休人数*400元/年标准内按实填列</t>
    <phoneticPr fontId="4" type="noConversion"/>
  </si>
  <si>
    <t>　　　　2、子女幼托费</t>
    <phoneticPr fontId="4" type="noConversion"/>
  </si>
  <si>
    <t>按人事口径实填列</t>
    <phoneticPr fontId="4" type="noConversion"/>
  </si>
  <si>
    <t>　　(九)其他交通费用</t>
    <phoneticPr fontId="4" type="noConversion"/>
  </si>
  <si>
    <t xml:space="preserve">
机关局无编制车辆的学校按32000元编制预算
机关局有编制的车辆，每分校增加10000元，每个分园增加5000元标准内填列</t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</si>
  <si>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</si>
  <si>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4" type="noConversion"/>
  </si>
  <si>
    <t>浦江三中</t>
    <phoneticPr fontId="4" type="noConversion"/>
  </si>
  <si>
    <t>上师闵实验</t>
    <phoneticPr fontId="4" type="noConversion"/>
  </si>
  <si>
    <t>福山实验</t>
    <phoneticPr fontId="4" type="noConversion"/>
  </si>
  <si>
    <t>浦江二幼</t>
  </si>
  <si>
    <t>浦江三幼</t>
    <phoneticPr fontId="4" type="noConversion"/>
  </si>
  <si>
    <t>宝邸幼儿园</t>
    <phoneticPr fontId="4" type="noConversion"/>
  </si>
  <si>
    <t>闸航路幼儿园</t>
    <phoneticPr fontId="4" type="noConversion"/>
  </si>
  <si>
    <t>浦江瑞和城幼儿园</t>
  </si>
  <si>
    <t>浦瑞幼儿园</t>
    <phoneticPr fontId="4" type="noConversion"/>
  </si>
  <si>
    <t>浦航幼儿园</t>
    <phoneticPr fontId="4" type="noConversion"/>
  </si>
  <si>
    <t>浦莲幼儿园</t>
  </si>
  <si>
    <t>浦江镇社区学校</t>
    <phoneticPr fontId="4" type="noConversion"/>
  </si>
  <si>
    <t>抚恤金专项调整预算</t>
    <phoneticPr fontId="3" type="noConversion"/>
  </si>
  <si>
    <t>残疾人就业保障专项预算调整</t>
    <phoneticPr fontId="3" type="noConversion"/>
  </si>
  <si>
    <t>镇属</t>
    <phoneticPr fontId="3" type="noConversion"/>
  </si>
  <si>
    <t>单位</t>
    <phoneticPr fontId="3" type="noConversion"/>
  </si>
  <si>
    <t>浦航实验</t>
  </si>
  <si>
    <t>上师附中闵实验</t>
  </si>
  <si>
    <t>浦江二小</t>
  </si>
  <si>
    <t>福山实验</t>
  </si>
  <si>
    <t>宝邸幼儿园</t>
  </si>
  <si>
    <t>瑞和城幼儿园</t>
  </si>
  <si>
    <t>闸航路幼儿园</t>
  </si>
  <si>
    <t>浦江镇社区学校</t>
  </si>
  <si>
    <t>浦江</t>
    <phoneticPr fontId="3" type="noConversion"/>
  </si>
  <si>
    <t>全年预算</t>
    <phoneticPr fontId="3" type="noConversion"/>
  </si>
  <si>
    <t>一次分配</t>
    <phoneticPr fontId="3" type="noConversion"/>
  </si>
  <si>
    <t>四次分配</t>
    <phoneticPr fontId="3" type="noConversion"/>
  </si>
  <si>
    <t>镇属</t>
    <phoneticPr fontId="3" type="noConversion"/>
  </si>
  <si>
    <t>单位</t>
    <phoneticPr fontId="3" type="noConversion"/>
  </si>
  <si>
    <t>全年预算</t>
    <phoneticPr fontId="3" type="noConversion"/>
  </si>
  <si>
    <t>二次分配</t>
    <phoneticPr fontId="3" type="noConversion"/>
  </si>
  <si>
    <t>四次分配</t>
    <phoneticPr fontId="3" type="noConversion"/>
  </si>
  <si>
    <t>浦江</t>
    <phoneticPr fontId="3" type="noConversion"/>
  </si>
  <si>
    <t>闵行区浦江汇秀小学(福山）</t>
    <phoneticPr fontId="3" type="noConversion"/>
  </si>
  <si>
    <t>社保公积金
（35.256%）</t>
    <phoneticPr fontId="3" type="noConversion"/>
  </si>
  <si>
    <t>离职补偿</t>
  </si>
  <si>
    <t>2023年金额（年初预算：按中位数测算，学校实际执行按人事部门规定标准执行，严禁超标准发放）老标准</t>
    <phoneticPr fontId="3" type="noConversion"/>
  </si>
  <si>
    <t>学校需求
（老标准）</t>
    <phoneticPr fontId="3" type="noConversion"/>
  </si>
  <si>
    <t>补上年</t>
    <phoneticPr fontId="3" type="noConversion"/>
  </si>
  <si>
    <t>课后服务预估
（2024年清算）</t>
    <phoneticPr fontId="3" type="noConversion"/>
  </si>
  <si>
    <t>应预下达合计</t>
    <phoneticPr fontId="3" type="noConversion"/>
  </si>
  <si>
    <t>已预下达
（附加经费）</t>
    <phoneticPr fontId="3" type="noConversion"/>
  </si>
  <si>
    <t>已预下达
（统筹经费）</t>
    <phoneticPr fontId="3" type="noConversion"/>
  </si>
  <si>
    <t>补充预下达
合计</t>
    <phoneticPr fontId="3" type="noConversion"/>
  </si>
  <si>
    <t>社保原因</t>
    <phoneticPr fontId="3" type="noConversion"/>
  </si>
  <si>
    <t>社保原因</t>
    <phoneticPr fontId="3" type="noConversion"/>
  </si>
  <si>
    <t>附加三次承担</t>
    <phoneticPr fontId="3" type="noConversion"/>
  </si>
  <si>
    <t>附加三次承担</t>
    <phoneticPr fontId="3" type="noConversion"/>
  </si>
  <si>
    <t>2023年镇管学校保安经费预算表</t>
    <phoneticPr fontId="4" type="noConversion"/>
  </si>
  <si>
    <r>
      <rPr>
        <sz val="11"/>
        <rFont val="宋体"/>
        <family val="3"/>
        <charset val="134"/>
      </rPr>
      <t>学校名称</t>
    </r>
    <phoneticPr fontId="4" type="noConversion"/>
  </si>
  <si>
    <r>
      <rPr>
        <sz val="11"/>
        <color indexed="8"/>
        <rFont val="宋体"/>
        <family val="3"/>
        <charset val="134"/>
      </rPr>
      <t>所属街镇</t>
    </r>
    <phoneticPr fontId="4" type="noConversion"/>
  </si>
  <si>
    <t>所属大队</t>
    <phoneticPr fontId="4" type="noConversion"/>
  </si>
  <si>
    <t>70%下达</t>
    <phoneticPr fontId="4" type="noConversion"/>
  </si>
  <si>
    <t>统筹四次承担</t>
    <phoneticPr fontId="4" type="noConversion"/>
  </si>
  <si>
    <t>学前</t>
    <phoneticPr fontId="3" type="noConversion"/>
  </si>
  <si>
    <t>小学</t>
    <phoneticPr fontId="3" type="noConversion"/>
  </si>
  <si>
    <t>初中</t>
    <phoneticPr fontId="3" type="noConversion"/>
  </si>
  <si>
    <t>农民工小学</t>
    <phoneticPr fontId="3" type="noConversion"/>
  </si>
  <si>
    <r>
      <rPr>
        <sz val="10"/>
        <rFont val="宋体"/>
        <family val="3"/>
        <charset val="134"/>
      </rPr>
      <t>浦江二中</t>
    </r>
  </si>
  <si>
    <r>
      <rPr>
        <sz val="10"/>
        <rFont val="宋体"/>
        <family val="3"/>
        <charset val="134"/>
      </rPr>
      <t>浦江镇</t>
    </r>
    <phoneticPr fontId="4" type="noConversion"/>
  </si>
  <si>
    <t>十</t>
    <phoneticPr fontId="4" type="noConversion"/>
  </si>
  <si>
    <r>
      <rPr>
        <sz val="10"/>
        <rFont val="宋体"/>
        <family val="3"/>
        <charset val="134"/>
      </rPr>
      <t>浦江三中</t>
    </r>
  </si>
  <si>
    <r>
      <rPr>
        <sz val="10"/>
        <rFont val="宋体"/>
        <family val="3"/>
        <charset val="134"/>
      </rPr>
      <t>浦江二小</t>
    </r>
  </si>
  <si>
    <t>闵行区浦江第二小学（浦涛路校区）</t>
    <phoneticPr fontId="4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</si>
  <si>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8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4" type="noConversion"/>
  </si>
  <si>
    <r>
      <rPr>
        <sz val="10"/>
        <rFont val="宋体"/>
        <family val="3"/>
        <charset val="134"/>
      </rPr>
      <t>浦江三小</t>
    </r>
  </si>
  <si>
    <r>
      <rPr>
        <sz val="10"/>
        <rFont val="宋体"/>
        <family val="3"/>
        <charset val="134"/>
      </rPr>
      <t>浦江二幼</t>
    </r>
  </si>
  <si>
    <t>浦江二幼分部</t>
    <phoneticPr fontId="4" type="noConversion"/>
  </si>
  <si>
    <r>
      <rPr>
        <sz val="10"/>
        <rFont val="宋体"/>
        <family val="3"/>
        <charset val="134"/>
      </rPr>
      <t>浦江三幼</t>
    </r>
  </si>
  <si>
    <t>上海戏剧学院附属学校</t>
    <phoneticPr fontId="4" type="noConversion"/>
  </si>
  <si>
    <t>原浦航小学</t>
    <phoneticPr fontId="4" type="noConversion"/>
  </si>
  <si>
    <t>上海市闵行区浦瑞幼儿园</t>
    <phoneticPr fontId="4" type="noConversion"/>
  </si>
  <si>
    <t>上海市闵行区浦瑞幼儿园万芳园</t>
    <phoneticPr fontId="4" type="noConversion"/>
  </si>
  <si>
    <t>浦江宝邸瑞和幼儿园</t>
    <phoneticPr fontId="4" type="noConversion"/>
  </si>
  <si>
    <t>浦江宝坻水语幼儿园</t>
    <phoneticPr fontId="4" type="noConversion"/>
  </si>
  <si>
    <r>
      <rPr>
        <sz val="10"/>
        <rFont val="宋体"/>
        <family val="3"/>
        <charset val="134"/>
      </rPr>
      <t>浦江三幼分部</t>
    </r>
  </si>
  <si>
    <r>
      <rPr>
        <sz val="10"/>
        <rFont val="宋体"/>
        <family val="3"/>
        <charset val="134"/>
      </rPr>
      <t>浦航二中</t>
    </r>
  </si>
  <si>
    <r>
      <rPr>
        <sz val="10"/>
        <rFont val="宋体"/>
        <family val="3"/>
        <charset val="134"/>
      </rPr>
      <t>浦汇小学</t>
    </r>
  </si>
  <si>
    <r>
      <rPr>
        <sz val="10"/>
        <rFont val="宋体"/>
        <family val="3"/>
        <charset val="134"/>
      </rPr>
      <t>浦莲幼儿园</t>
    </r>
  </si>
  <si>
    <t>上海市闵行区浦莲幼儿园佳兴分园</t>
    <phoneticPr fontId="4" type="noConversion"/>
  </si>
  <si>
    <r>
      <rPr>
        <sz val="10"/>
        <rFont val="宋体"/>
        <family val="3"/>
        <charset val="134"/>
      </rPr>
      <t>瑞和城幼儿园</t>
    </r>
  </si>
  <si>
    <r>
      <rPr>
        <sz val="10"/>
        <rFont val="宋体"/>
        <family val="3"/>
        <charset val="134"/>
      </rPr>
      <t>浦航幼儿园</t>
    </r>
  </si>
  <si>
    <r>
      <rPr>
        <sz val="10"/>
        <rFont val="宋体"/>
        <family val="3"/>
        <charset val="134"/>
      </rPr>
      <t>浦航幼儿园（中城分园）</t>
    </r>
  </si>
  <si>
    <t>汇秀/福山</t>
    <phoneticPr fontId="4" type="noConversion"/>
  </si>
  <si>
    <t>上海市闵行浦江闸航路幼儿园</t>
    <phoneticPr fontId="4" type="noConversion"/>
  </si>
  <si>
    <t>上海世外教育附属浦江外国语学校</t>
    <phoneticPr fontId="4" type="noConversion"/>
  </si>
  <si>
    <t>浦江镇</t>
    <phoneticPr fontId="4" type="noConversion"/>
  </si>
  <si>
    <t>文馨小学</t>
    <phoneticPr fontId="3" type="noConversion"/>
  </si>
  <si>
    <t>文汇小学</t>
    <phoneticPr fontId="3" type="noConversion"/>
  </si>
  <si>
    <r>
      <rPr>
        <sz val="10"/>
        <color indexed="8"/>
        <rFont val="宋体"/>
        <family val="3"/>
        <charset val="134"/>
      </rPr>
      <t>乐海幼儿园</t>
    </r>
    <phoneticPr fontId="3" type="noConversion"/>
  </si>
  <si>
    <r>
      <rPr>
        <sz val="10"/>
        <color indexed="8"/>
        <rFont val="宋体"/>
        <family val="3"/>
        <charset val="134"/>
      </rPr>
      <t>浦江之星幼儿园</t>
    </r>
    <phoneticPr fontId="3" type="noConversion"/>
  </si>
  <si>
    <r>
      <rPr>
        <sz val="9"/>
        <color indexed="8"/>
        <rFont val="宋体"/>
        <family val="3"/>
        <charset val="134"/>
      </rPr>
      <t>民办文博幼儿园</t>
    </r>
    <phoneticPr fontId="3" type="noConversion"/>
  </si>
  <si>
    <r>
      <rPr>
        <sz val="9"/>
        <color indexed="8"/>
        <rFont val="宋体"/>
        <family val="3"/>
        <charset val="134"/>
      </rPr>
      <t>民办召楼幼儿园</t>
    </r>
    <phoneticPr fontId="3" type="noConversion"/>
  </si>
  <si>
    <r>
      <rPr>
        <sz val="9"/>
        <color indexed="8"/>
        <rFont val="宋体"/>
        <family val="3"/>
        <charset val="134"/>
      </rPr>
      <t>民办苏民幼儿园</t>
    </r>
    <phoneticPr fontId="3" type="noConversion"/>
  </si>
  <si>
    <t>浦江小计</t>
    <phoneticPr fontId="3" type="noConversion"/>
  </si>
  <si>
    <t>浦江小计</t>
    <phoneticPr fontId="4" type="noConversion"/>
  </si>
  <si>
    <t>-</t>
  </si>
  <si>
    <t>浦江二中、福山实验、浦江三幼、浦汇小学</t>
  </si>
  <si>
    <t>浦江二中、福山实验、浦江三幼、浦汇小学学校修缮项目</t>
  </si>
  <si>
    <t>统筹四次承担</t>
    <phoneticPr fontId="3" type="noConversion"/>
  </si>
  <si>
    <t>附加三次承担</t>
    <phoneticPr fontId="3" type="noConversion"/>
  </si>
  <si>
    <t>总投资
（元）</t>
    <phoneticPr fontId="3" type="noConversion"/>
  </si>
  <si>
    <t>建安费
（元）</t>
    <phoneticPr fontId="3" type="noConversion"/>
  </si>
  <si>
    <t>施工合同价
（元）</t>
    <phoneticPr fontId="3" type="noConversion"/>
  </si>
  <si>
    <t>工程审定价
（元）</t>
    <phoneticPr fontId="3" type="noConversion"/>
  </si>
  <si>
    <t>二类费用
（元）</t>
    <phoneticPr fontId="3" type="noConversion"/>
  </si>
  <si>
    <t>应执行
金额费用（元）</t>
    <phoneticPr fontId="3" type="noConversion"/>
  </si>
  <si>
    <t>已执行
金额费用（元）</t>
    <phoneticPr fontId="3" type="noConversion"/>
  </si>
  <si>
    <t>尾款清算
金额费用（元）</t>
    <phoneticPr fontId="3" type="noConversion"/>
  </si>
  <si>
    <t>2023年镇级单位尾款清算预算表</t>
    <phoneticPr fontId="3" type="noConversion"/>
  </si>
  <si>
    <t>2023年绩效预估（在编人员调整预算用）</t>
    <phoneticPr fontId="3" type="noConversion"/>
  </si>
  <si>
    <t>上海市闵行区浦江汇秀小学（福山）</t>
    <phoneticPr fontId="3" type="noConversion"/>
  </si>
  <si>
    <t>新标准增资
测算</t>
    <phoneticPr fontId="3" type="noConversion"/>
  </si>
  <si>
    <t>上半年
人数</t>
    <phoneticPr fontId="3" type="noConversion"/>
  </si>
  <si>
    <t>下半年
人数</t>
    <phoneticPr fontId="3" type="noConversion"/>
  </si>
  <si>
    <t>平均
人数</t>
    <phoneticPr fontId="3" type="noConversion"/>
  </si>
  <si>
    <t>估计
标准</t>
    <phoneticPr fontId="3" type="noConversion"/>
  </si>
  <si>
    <t>增量
预估</t>
    <phoneticPr fontId="3" type="noConversion"/>
  </si>
  <si>
    <t>审价未出以合同价计算</t>
    <phoneticPr fontId="3" type="noConversion"/>
  </si>
  <si>
    <t>校区
门数</t>
    <phoneticPr fontId="4" type="noConversion"/>
  </si>
  <si>
    <t>在岗
人数</t>
    <phoneticPr fontId="4" type="noConversion"/>
  </si>
  <si>
    <t>值班
单价</t>
    <phoneticPr fontId="4" type="noConversion"/>
  </si>
  <si>
    <t>值班
金额</t>
    <phoneticPr fontId="4" type="noConversion"/>
  </si>
  <si>
    <t>附加三次
分配</t>
    <phoneticPr fontId="4" type="noConversion"/>
  </si>
  <si>
    <t>2023年基本支出调整预算表（浦江）</t>
    <phoneticPr fontId="4" type="noConversion"/>
  </si>
  <si>
    <t>2023年教育统筹经费第四次分配明细表</t>
    <phoneticPr fontId="3" type="noConversion"/>
  </si>
  <si>
    <t>单位：元</t>
    <phoneticPr fontId="4" type="noConversion"/>
  </si>
  <si>
    <t>项目</t>
    <phoneticPr fontId="4" type="noConversion"/>
  </si>
  <si>
    <t>四次分配合计</t>
    <phoneticPr fontId="3" type="noConversion"/>
  </si>
  <si>
    <t>其中：教育局</t>
    <phoneticPr fontId="3" type="noConversion"/>
  </si>
  <si>
    <t>其中：乡镇（工业区）</t>
    <phoneticPr fontId="3" type="noConversion"/>
  </si>
  <si>
    <t>工资福利支出</t>
    <phoneticPr fontId="3" type="noConversion"/>
  </si>
  <si>
    <t>商品服务支出</t>
    <phoneticPr fontId="3" type="noConversion"/>
  </si>
  <si>
    <t>对个人和家庭的补助支出</t>
    <phoneticPr fontId="3" type="noConversion"/>
  </si>
  <si>
    <t>社区教育经费</t>
  </si>
  <si>
    <t>残疾就业保障</t>
    <phoneticPr fontId="3" type="noConversion"/>
  </si>
  <si>
    <t>补充公用经费</t>
    <phoneticPr fontId="3" type="noConversion"/>
  </si>
  <si>
    <t>设备购置与更新</t>
  </si>
  <si>
    <t>中小学教育教学</t>
  </si>
  <si>
    <t>科艺体德专项</t>
  </si>
  <si>
    <t>抚恤金</t>
    <phoneticPr fontId="3" type="noConversion"/>
  </si>
  <si>
    <t>储备教师</t>
    <phoneticPr fontId="3" type="noConversion"/>
  </si>
  <si>
    <t>浦江镇：</t>
    <phoneticPr fontId="4" type="noConversion"/>
  </si>
  <si>
    <t>保安经费</t>
    <phoneticPr fontId="3" type="noConversion"/>
  </si>
  <si>
    <t>未开办学校物业管理（区级代管）</t>
    <phoneticPr fontId="3" type="noConversion"/>
  </si>
</sst>
</file>

<file path=xl/styles.xml><?xml version="1.0" encoding="utf-8"?>
<styleSheet xmlns="http://schemas.openxmlformats.org/spreadsheetml/2006/main">
  <numFmts count="17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#,##0_ "/>
    <numFmt numFmtId="188" formatCode="#,###,###,###"/>
    <numFmt numFmtId="189" formatCode="[$-F800]dddd\,\ mmmm\ dd\,\ yyyy"/>
    <numFmt numFmtId="190" formatCode="0.000_ ;\-0.000;;"/>
  </numFmts>
  <fonts count="149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8"/>
      <name val="仿宋"/>
      <family val="3"/>
      <charset val="134"/>
    </font>
    <font>
      <b/>
      <sz val="12"/>
      <name val="宋体"/>
      <family val="3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sz val="10"/>
      <name val="宋体"/>
      <family val="3"/>
      <charset val="134"/>
      <scheme val="major"/>
    </font>
    <font>
      <sz val="9"/>
      <color rgb="FF000000"/>
      <name val="宋体"/>
      <family val="3"/>
      <charset val="134"/>
    </font>
    <font>
      <vertAlign val="superscript"/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4"/>
      <color indexed="8"/>
      <name val="微软雅黑"/>
      <family val="2"/>
      <charset val="134"/>
    </font>
    <font>
      <sz val="11"/>
      <color indexed="8"/>
      <name val="Arial"/>
      <family val="2"/>
    </font>
    <font>
      <sz val="11"/>
      <name val="Arial"/>
      <family val="2"/>
    </font>
    <font>
      <sz val="10"/>
      <color indexed="8"/>
      <name val="Arial"/>
      <family val="2"/>
    </font>
    <font>
      <sz val="14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宋体"/>
      <family val="2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02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176" fontId="21" fillId="0" borderId="0">
      <alignment vertical="center"/>
    </xf>
    <xf numFmtId="0" fontId="23" fillId="0" borderId="0"/>
    <xf numFmtId="176" fontId="18" fillId="0" borderId="0">
      <alignment vertical="center"/>
    </xf>
    <xf numFmtId="0" fontId="47" fillId="0" borderId="0"/>
  </cellStyleXfs>
  <cellXfs count="1167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0" fontId="4" fillId="0" borderId="15" xfId="2012" applyFont="1" applyBorder="1" applyAlignment="1">
      <alignment horizontal="left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3" borderId="15" xfId="0" applyNumberFormat="1" applyFont="1" applyFill="1" applyBorder="1" applyAlignment="1">
      <alignment horizontal="center" vertical="center" readingOrder="1"/>
    </xf>
    <xf numFmtId="0" fontId="59" fillId="0" borderId="15" xfId="0" applyFont="1" applyBorder="1" applyAlignment="1">
      <alignment horizontal="center" vertical="center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59" fillId="0" borderId="0" xfId="0" applyFont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72" fillId="0" borderId="15" xfId="1123" applyNumberFormat="1" applyFont="1" applyBorder="1" applyAlignment="1">
      <alignment horizontal="center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59" fillId="0" borderId="15" xfId="0" applyFont="1" applyBorder="1">
      <alignment vertical="center"/>
    </xf>
    <xf numFmtId="0" fontId="72" fillId="0" borderId="15" xfId="0" applyFont="1" applyBorder="1" applyAlignment="1">
      <alignment horizontal="center" vertical="center" readingOrder="1"/>
    </xf>
    <xf numFmtId="178" fontId="72" fillId="0" borderId="15" xfId="0" applyNumberFormat="1" applyFont="1" applyBorder="1" applyAlignment="1">
      <alignment horizontal="center" vertical="center" readingOrder="1"/>
    </xf>
    <xf numFmtId="0" fontId="72" fillId="3" borderId="15" xfId="1123" applyFont="1" applyFill="1" applyBorder="1" applyAlignment="1">
      <alignment horizontal="left" vertical="center" wrapText="1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NumberFormat="1" applyFont="1" applyBorder="1" applyAlignment="1">
      <alignment horizontal="center" vertical="center" wrapText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124" fillId="0" borderId="15" xfId="1123" applyNumberFormat="1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178" fontId="9" fillId="0" borderId="15" xfId="2012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93" fillId="3" borderId="15" xfId="1383" applyNumberFormat="1" applyFont="1" applyFill="1" applyBorder="1" applyAlignment="1">
      <alignment horizontal="center" vertical="center" wrapText="1"/>
    </xf>
    <xf numFmtId="0" fontId="93" fillId="2" borderId="15" xfId="1383" applyNumberFormat="1" applyFont="1" applyFill="1" applyBorder="1" applyAlignment="1" applyProtection="1">
      <alignment horizontal="center" vertical="center" wrapText="1"/>
    </xf>
    <xf numFmtId="178" fontId="93" fillId="0" borderId="15" xfId="0" applyNumberFormat="1" applyFont="1" applyFill="1" applyBorder="1" applyAlignment="1">
      <alignment horizontal="center" vertical="center" wrapText="1"/>
    </xf>
    <xf numFmtId="0" fontId="93" fillId="0" borderId="15" xfId="0" applyNumberFormat="1" applyFont="1" applyFill="1" applyBorder="1" applyAlignment="1">
      <alignment horizontal="center" vertical="center" wrapText="1"/>
    </xf>
    <xf numFmtId="0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0" applyNumberFormat="1" applyFont="1" applyFill="1" applyBorder="1" applyAlignment="1">
      <alignment horizontal="center" vertical="center" wrapText="1"/>
    </xf>
    <xf numFmtId="178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2020" applyNumberFormat="1" applyFont="1" applyFill="1" applyBorder="1" applyAlignment="1">
      <alignment horizontal="center" vertical="center" wrapText="1"/>
    </xf>
    <xf numFmtId="178" fontId="20" fillId="3" borderId="15" xfId="1676" applyNumberFormat="1" applyFont="1" applyFill="1" applyBorder="1" applyAlignment="1">
      <alignment horizontal="center" vertical="center" wrapText="1"/>
    </xf>
    <xf numFmtId="0" fontId="126" fillId="0" borderId="0" xfId="0" applyNumberFormat="1" applyFont="1">
      <alignment vertical="center"/>
    </xf>
    <xf numFmtId="0" fontId="20" fillId="3" borderId="15" xfId="2021" applyNumberFormat="1" applyFont="1" applyFill="1" applyBorder="1" applyAlignment="1">
      <alignment horizontal="center" vertical="center" wrapText="1"/>
    </xf>
    <xf numFmtId="0" fontId="20" fillId="0" borderId="15" xfId="0" applyNumberFormat="1" applyFont="1" applyBorder="1" applyAlignment="1">
      <alignment horizontal="center" vertical="center" wrapText="1"/>
    </xf>
    <xf numFmtId="178" fontId="93" fillId="3" borderId="15" xfId="1383" applyNumberFormat="1" applyFont="1" applyFill="1" applyBorder="1" applyAlignment="1">
      <alignment horizontal="center" vertical="center" wrapText="1"/>
    </xf>
    <xf numFmtId="0" fontId="110" fillId="0" borderId="0" xfId="0" applyFont="1">
      <alignment vertical="center"/>
    </xf>
    <xf numFmtId="0" fontId="127" fillId="0" borderId="15" xfId="0" applyFont="1" applyBorder="1" applyAlignment="1">
      <alignment horizontal="center" vertical="center" wrapText="1"/>
    </xf>
    <xf numFmtId="182" fontId="127" fillId="0" borderId="15" xfId="2014" applyNumberFormat="1" applyFont="1" applyFill="1" applyBorder="1" applyAlignment="1">
      <alignment horizontal="center" vertical="center" wrapText="1"/>
    </xf>
    <xf numFmtId="3" fontId="110" fillId="0" borderId="0" xfId="0" applyNumberFormat="1" applyFont="1">
      <alignment vertical="center"/>
    </xf>
    <xf numFmtId="4" fontId="110" fillId="0" borderId="0" xfId="0" applyNumberFormat="1" applyFont="1">
      <alignment vertical="center"/>
    </xf>
    <xf numFmtId="2" fontId="110" fillId="0" borderId="0" xfId="0" applyNumberFormat="1" applyFont="1">
      <alignment vertical="center"/>
    </xf>
    <xf numFmtId="0" fontId="74" fillId="0" borderId="15" xfId="2022" applyFont="1" applyBorder="1" applyAlignment="1">
      <alignment horizontal="center" vertical="center" wrapText="1"/>
    </xf>
    <xf numFmtId="187" fontId="74" fillId="0" borderId="15" xfId="0" applyNumberFormat="1" applyFont="1" applyBorder="1" applyAlignment="1">
      <alignment horizontal="center" vertical="center" wrapText="1"/>
    </xf>
    <xf numFmtId="3" fontId="74" fillId="0" borderId="15" xfId="0" applyNumberFormat="1" applyFont="1" applyBorder="1" applyAlignment="1">
      <alignment horizontal="center" vertical="center" wrapText="1"/>
    </xf>
    <xf numFmtId="38" fontId="74" fillId="0" borderId="15" xfId="0" applyNumberFormat="1" applyFont="1" applyBorder="1" applyAlignment="1">
      <alignment horizontal="center" vertical="center" wrapText="1"/>
    </xf>
    <xf numFmtId="0" fontId="60" fillId="0" borderId="0" xfId="0" applyFont="1">
      <alignment vertical="center"/>
    </xf>
    <xf numFmtId="0" fontId="74" fillId="0" borderId="15" xfId="0" applyFont="1" applyBorder="1" applyAlignment="1">
      <alignment horizontal="center" vertical="center" wrapText="1"/>
    </xf>
    <xf numFmtId="0" fontId="76" fillId="0" borderId="15" xfId="0" applyFont="1" applyBorder="1" applyAlignment="1">
      <alignment vertical="center" wrapText="1"/>
    </xf>
    <xf numFmtId="187" fontId="76" fillId="0" borderId="15" xfId="0" applyNumberFormat="1" applyFont="1" applyBorder="1" applyAlignment="1">
      <alignment vertical="center" wrapText="1"/>
    </xf>
    <xf numFmtId="38" fontId="76" fillId="0" borderId="15" xfId="0" applyNumberFormat="1" applyFont="1" applyBorder="1" applyAlignment="1">
      <alignment horizontal="center" vertical="center" wrapText="1"/>
    </xf>
    <xf numFmtId="3" fontId="60" fillId="0" borderId="0" xfId="0" applyNumberFormat="1" applyFont="1">
      <alignment vertical="center"/>
    </xf>
    <xf numFmtId="9" fontId="76" fillId="0" borderId="15" xfId="0" applyNumberFormat="1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/>
    </xf>
    <xf numFmtId="3" fontId="76" fillId="0" borderId="15" xfId="0" applyNumberFormat="1" applyFont="1" applyBorder="1" applyAlignment="1">
      <alignment horizontal="center" vertical="center" wrapText="1"/>
    </xf>
    <xf numFmtId="0" fontId="74" fillId="0" borderId="15" xfId="0" applyFont="1" applyBorder="1" applyAlignment="1">
      <alignment vertical="center" wrapText="1"/>
    </xf>
    <xf numFmtId="183" fontId="74" fillId="0" borderId="15" xfId="0" applyNumberFormat="1" applyFont="1" applyBorder="1" applyAlignment="1">
      <alignment horizontal="center" vertical="center" wrapText="1"/>
    </xf>
    <xf numFmtId="1" fontId="74" fillId="0" borderId="15" xfId="0" applyNumberFormat="1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left" vertical="center"/>
    </xf>
    <xf numFmtId="188" fontId="4" fillId="3" borderId="24" xfId="0" applyNumberFormat="1" applyFont="1" applyFill="1" applyBorder="1" applyAlignment="1">
      <alignment horizontal="center" vertical="center"/>
    </xf>
    <xf numFmtId="0" fontId="59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shrinkToFit="1"/>
    </xf>
    <xf numFmtId="0" fontId="0" fillId="0" borderId="24" xfId="0" applyBorder="1">
      <alignment vertical="center"/>
    </xf>
    <xf numFmtId="0" fontId="4" fillId="3" borderId="24" xfId="0" applyNumberFormat="1" applyFont="1" applyFill="1" applyBorder="1" applyAlignment="1">
      <alignment horizontal="right" vertical="center"/>
    </xf>
    <xf numFmtId="0" fontId="0" fillId="0" borderId="24" xfId="0" applyNumberFormat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4" fillId="3" borderId="15" xfId="2023" applyNumberFormat="1" applyFont="1" applyFill="1" applyBorder="1" applyAlignment="1">
      <alignment horizontal="center" vertical="center" wrapText="1"/>
    </xf>
    <xf numFmtId="178" fontId="4" fillId="3" borderId="15" xfId="2023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0" fontId="4" fillId="3" borderId="15" xfId="0" applyNumberFormat="1" applyFont="1" applyFill="1" applyBorder="1" applyAlignment="1">
      <alignment horizontal="center" vertical="center" wrapText="1"/>
    </xf>
    <xf numFmtId="178" fontId="60" fillId="3" borderId="15" xfId="0" applyNumberFormat="1" applyFont="1" applyFill="1" applyBorder="1" applyAlignment="1">
      <alignment horizontal="center"/>
    </xf>
    <xf numFmtId="189" fontId="0" fillId="3" borderId="0" xfId="0" applyNumberFormat="1" applyFill="1">
      <alignment vertical="center"/>
    </xf>
    <xf numFmtId="189" fontId="0" fillId="0" borderId="0" xfId="0" applyNumberFormat="1">
      <alignment vertical="center"/>
    </xf>
    <xf numFmtId="182" fontId="133" fillId="3" borderId="14" xfId="0" applyNumberFormat="1" applyFont="1" applyFill="1" applyBorder="1" applyAlignment="1">
      <alignment horizontal="center" vertical="center"/>
    </xf>
    <xf numFmtId="189" fontId="133" fillId="3" borderId="14" xfId="0" applyNumberFormat="1" applyFont="1" applyFill="1" applyBorder="1" applyAlignment="1">
      <alignment horizontal="center" vertical="center" wrapText="1"/>
    </xf>
    <xf numFmtId="189" fontId="133" fillId="3" borderId="14" xfId="0" applyNumberFormat="1" applyFont="1" applyFill="1" applyBorder="1" applyAlignment="1">
      <alignment horizontal="center" vertical="center"/>
    </xf>
    <xf numFmtId="177" fontId="133" fillId="3" borderId="14" xfId="0" applyNumberFormat="1" applyFont="1" applyFill="1" applyBorder="1" applyAlignment="1">
      <alignment horizontal="center" vertical="center"/>
    </xf>
    <xf numFmtId="178" fontId="133" fillId="3" borderId="14" xfId="0" applyNumberFormat="1" applyFont="1" applyFill="1" applyBorder="1" applyAlignment="1">
      <alignment horizontal="center" vertical="center"/>
    </xf>
    <xf numFmtId="0" fontId="133" fillId="3" borderId="15" xfId="1361" applyFont="1" applyFill="1" applyBorder="1" applyAlignment="1">
      <alignment horizontal="center" vertical="center" wrapText="1"/>
    </xf>
    <xf numFmtId="0" fontId="133" fillId="3" borderId="15" xfId="1361" applyFont="1" applyFill="1" applyBorder="1" applyAlignment="1">
      <alignment vertical="center" wrapText="1"/>
    </xf>
    <xf numFmtId="189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0" applyNumberFormat="1" applyFont="1" applyFill="1" applyBorder="1" applyAlignment="1">
      <alignment horizontal="left" vertical="center" wrapText="1"/>
    </xf>
    <xf numFmtId="182" fontId="133" fillId="3" borderId="15" xfId="2009" applyNumberFormat="1" applyFont="1" applyFill="1" applyBorder="1" applyAlignment="1">
      <alignment horizontal="left" vertical="center" wrapText="1"/>
    </xf>
    <xf numFmtId="177" fontId="133" fillId="3" borderId="15" xfId="0" applyNumberFormat="1" applyFont="1" applyFill="1" applyBorder="1" applyAlignment="1">
      <alignment horizontal="right" vertical="center" wrapText="1"/>
    </xf>
    <xf numFmtId="0" fontId="133" fillId="3" borderId="15" xfId="0" applyNumberFormat="1" applyFont="1" applyFill="1" applyBorder="1" applyAlignment="1">
      <alignment horizontal="center" vertical="center" wrapText="1"/>
    </xf>
    <xf numFmtId="178" fontId="133" fillId="3" borderId="15" xfId="1199" applyNumberFormat="1" applyFont="1" applyFill="1" applyBorder="1" applyAlignment="1">
      <alignment horizontal="right" vertical="center" wrapText="1"/>
    </xf>
    <xf numFmtId="0" fontId="134" fillId="3" borderId="15" xfId="1361" applyFont="1" applyFill="1" applyBorder="1" applyAlignment="1">
      <alignment horizontal="center" vertical="center" wrapText="1"/>
    </xf>
    <xf numFmtId="0" fontId="134" fillId="3" borderId="15" xfId="1361" applyFont="1" applyFill="1" applyBorder="1" applyAlignment="1">
      <alignment vertical="center" wrapText="1"/>
    </xf>
    <xf numFmtId="189" fontId="134" fillId="3" borderId="15" xfId="1199" applyNumberFormat="1" applyFont="1" applyFill="1" applyBorder="1" applyAlignment="1">
      <alignment horizontal="left" vertical="center" wrapText="1"/>
    </xf>
    <xf numFmtId="0" fontId="134" fillId="3" borderId="15" xfId="0" applyNumberFormat="1" applyFont="1" applyFill="1" applyBorder="1" applyAlignment="1">
      <alignment horizontal="left" vertical="center" wrapText="1"/>
    </xf>
    <xf numFmtId="182" fontId="134" fillId="3" borderId="15" xfId="2009" applyNumberFormat="1" applyFont="1" applyFill="1" applyBorder="1" applyAlignment="1">
      <alignment horizontal="left" vertical="center" wrapText="1"/>
    </xf>
    <xf numFmtId="177" fontId="134" fillId="3" borderId="15" xfId="0" applyNumberFormat="1" applyFont="1" applyFill="1" applyBorder="1" applyAlignment="1">
      <alignment horizontal="right" vertical="center" wrapText="1"/>
    </xf>
    <xf numFmtId="0" fontId="134" fillId="3" borderId="15" xfId="0" applyNumberFormat="1" applyFont="1" applyFill="1" applyBorder="1" applyAlignment="1">
      <alignment horizontal="center" vertical="center" wrapText="1"/>
    </xf>
    <xf numFmtId="178" fontId="134" fillId="3" borderId="15" xfId="1199" applyNumberFormat="1" applyFont="1" applyFill="1" applyBorder="1" applyAlignment="1">
      <alignment horizontal="right" vertical="center" wrapText="1"/>
    </xf>
    <xf numFmtId="0" fontId="134" fillId="3" borderId="15" xfId="2009" applyNumberFormat="1" applyFont="1" applyFill="1" applyBorder="1" applyAlignment="1">
      <alignment horizontal="left" vertical="center" wrapText="1"/>
    </xf>
    <xf numFmtId="0" fontId="134" fillId="3" borderId="15" xfId="2009" applyFont="1" applyFill="1" applyBorder="1" applyAlignment="1">
      <alignment horizontal="left" vertical="center" wrapText="1"/>
    </xf>
    <xf numFmtId="0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2009" applyFont="1" applyFill="1" applyBorder="1" applyAlignment="1">
      <alignment horizontal="left" vertical="center" wrapText="1"/>
    </xf>
    <xf numFmtId="178" fontId="133" fillId="3" borderId="15" xfId="2009" applyNumberFormat="1" applyFont="1" applyFill="1" applyBorder="1" applyAlignment="1">
      <alignment horizontal="right" vertical="center" wrapText="1"/>
    </xf>
    <xf numFmtId="0" fontId="133" fillId="3" borderId="15" xfId="2019" applyFont="1" applyFill="1" applyBorder="1" applyAlignment="1">
      <alignment horizontal="center" vertical="center" wrapText="1"/>
    </xf>
    <xf numFmtId="0" fontId="134" fillId="3" borderId="15" xfId="1199" applyNumberFormat="1" applyFont="1" applyFill="1" applyBorder="1" applyAlignment="1">
      <alignment horizontal="left" vertical="center" wrapText="1"/>
    </xf>
    <xf numFmtId="178" fontId="134" fillId="3" borderId="15" xfId="2009" applyNumberFormat="1" applyFont="1" applyFill="1" applyBorder="1" applyAlignment="1">
      <alignment horizontal="right" vertical="center" wrapText="1"/>
    </xf>
    <xf numFmtId="0" fontId="134" fillId="3" borderId="15" xfId="2019" applyFont="1" applyFill="1" applyBorder="1" applyAlignment="1">
      <alignment horizontal="center" vertical="center" wrapText="1"/>
    </xf>
    <xf numFmtId="178" fontId="134" fillId="3" borderId="15" xfId="2019" applyNumberFormat="1" applyFont="1" applyFill="1" applyBorder="1" applyAlignment="1">
      <alignment horizontal="right" vertical="center" wrapText="1"/>
    </xf>
    <xf numFmtId="182" fontId="134" fillId="3" borderId="15" xfId="2019" applyNumberFormat="1" applyFont="1" applyFill="1" applyBorder="1" applyAlignment="1">
      <alignment horizontal="left" vertical="center" wrapText="1"/>
    </xf>
    <xf numFmtId="189" fontId="134" fillId="3" borderId="15" xfId="0" applyNumberFormat="1" applyFont="1" applyFill="1" applyBorder="1" applyAlignment="1">
      <alignment vertical="center" wrapText="1"/>
    </xf>
    <xf numFmtId="0" fontId="134" fillId="3" borderId="15" xfId="1123" applyNumberFormat="1" applyFont="1" applyFill="1" applyBorder="1" applyAlignment="1">
      <alignment horizontal="left" vertical="center" wrapText="1"/>
    </xf>
    <xf numFmtId="0" fontId="133" fillId="3" borderId="15" xfId="2009" applyNumberFormat="1" applyFont="1" applyFill="1" applyBorder="1" applyAlignment="1">
      <alignment horizontal="left" vertical="center" wrapText="1"/>
    </xf>
    <xf numFmtId="182" fontId="133" fillId="3" borderId="15" xfId="0" applyNumberFormat="1" applyFont="1" applyFill="1" applyBorder="1" applyAlignment="1">
      <alignment horizontal="center" vertical="center" wrapText="1"/>
    </xf>
    <xf numFmtId="182" fontId="133" fillId="3" borderId="15" xfId="2019" applyNumberFormat="1" applyFont="1" applyFill="1" applyBorder="1" applyAlignment="1">
      <alignment horizontal="left" vertical="center" wrapText="1"/>
    </xf>
    <xf numFmtId="178" fontId="133" fillId="3" borderId="15" xfId="2019" applyNumberFormat="1" applyFont="1" applyFill="1" applyBorder="1" applyAlignment="1">
      <alignment horizontal="right" vertical="center" wrapText="1"/>
    </xf>
    <xf numFmtId="182" fontId="134" fillId="3" borderId="15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left" vertical="center" wrapText="1"/>
    </xf>
    <xf numFmtId="189" fontId="60" fillId="3" borderId="1" xfId="1199" applyNumberFormat="1" applyFont="1" applyFill="1" applyBorder="1" applyAlignment="1">
      <alignment horizontal="left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0" fontId="60" fillId="3" borderId="1" xfId="2009" applyNumberFormat="1" applyFont="1" applyFill="1" applyBorder="1" applyAlignment="1">
      <alignment horizontal="left" vertical="center" wrapText="1"/>
    </xf>
    <xf numFmtId="0" fontId="60" fillId="3" borderId="1" xfId="1199" applyNumberFormat="1" applyFont="1" applyFill="1" applyBorder="1" applyAlignment="1">
      <alignment horizontal="left" vertical="center" wrapText="1"/>
    </xf>
    <xf numFmtId="0" fontId="60" fillId="3" borderId="1" xfId="2009" applyFont="1" applyFill="1" applyBorder="1" applyAlignment="1">
      <alignment horizontal="left" vertical="center" wrapText="1"/>
    </xf>
    <xf numFmtId="177" fontId="60" fillId="3" borderId="1" xfId="0" applyNumberFormat="1" applyFont="1" applyFill="1" applyBorder="1" applyAlignment="1">
      <alignment horizontal="center" vertical="center" wrapText="1"/>
    </xf>
    <xf numFmtId="178" fontId="60" fillId="3" borderId="1" xfId="1199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/>
    </xf>
    <xf numFmtId="178" fontId="59" fillId="0" borderId="1" xfId="0" applyNumberFormat="1" applyFont="1" applyBorder="1" applyAlignment="1">
      <alignment horizontal="center" vertical="center"/>
    </xf>
    <xf numFmtId="178" fontId="60" fillId="3" borderId="1" xfId="2009" applyNumberFormat="1" applyFont="1" applyFill="1" applyBorder="1" applyAlignment="1">
      <alignment horizontal="center" vertical="center" wrapText="1"/>
    </xf>
    <xf numFmtId="189" fontId="60" fillId="3" borderId="1" xfId="1228" applyNumberFormat="1" applyFont="1" applyFill="1" applyBorder="1" applyAlignment="1">
      <alignment horizontal="center" vertical="center" wrapText="1"/>
    </xf>
    <xf numFmtId="0" fontId="60" fillId="3" borderId="1" xfId="2019" applyFont="1" applyFill="1" applyBorder="1" applyAlignment="1">
      <alignment horizontal="center" vertical="center" wrapText="1"/>
    </xf>
    <xf numFmtId="178" fontId="60" fillId="3" borderId="1" xfId="1228" applyNumberFormat="1" applyFont="1" applyFill="1" applyBorder="1" applyAlignment="1">
      <alignment horizontal="center" vertical="center" wrapText="1"/>
    </xf>
    <xf numFmtId="178" fontId="60" fillId="3" borderId="1" xfId="2019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left" vertical="center"/>
    </xf>
    <xf numFmtId="0" fontId="60" fillId="3" borderId="1" xfId="1361" applyFont="1" applyFill="1" applyBorder="1" applyAlignment="1">
      <alignment horizontal="left" vertical="center" wrapText="1"/>
    </xf>
    <xf numFmtId="189" fontId="60" fillId="3" borderId="1" xfId="1228" applyNumberFormat="1" applyFont="1" applyFill="1" applyBorder="1" applyAlignment="1">
      <alignment horizontal="left" vertical="center" wrapText="1"/>
    </xf>
    <xf numFmtId="0" fontId="60" fillId="3" borderId="1" xfId="1228" applyNumberFormat="1" applyFont="1" applyFill="1" applyBorder="1" applyAlignment="1">
      <alignment horizontal="left" vertical="center" wrapText="1"/>
    </xf>
    <xf numFmtId="182" fontId="60" fillId="3" borderId="1" xfId="2009" applyNumberFormat="1" applyFont="1" applyFill="1" applyBorder="1" applyAlignment="1">
      <alignment horizontal="left" vertical="center" wrapText="1"/>
    </xf>
    <xf numFmtId="182" fontId="60" fillId="3" borderId="1" xfId="2019" applyNumberFormat="1" applyFont="1" applyFill="1" applyBorder="1" applyAlignment="1">
      <alignment horizontal="left" vertical="center" wrapText="1"/>
    </xf>
    <xf numFmtId="189" fontId="60" fillId="3" borderId="1" xfId="0" applyNumberFormat="1" applyFont="1" applyFill="1" applyBorder="1" applyAlignment="1">
      <alignment horizontal="left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0" fontId="135" fillId="3" borderId="1" xfId="1405" applyNumberFormat="1" applyFont="1" applyFill="1" applyBorder="1" applyAlignment="1">
      <alignment vertical="center" wrapText="1"/>
    </xf>
    <xf numFmtId="0" fontId="134" fillId="3" borderId="1" xfId="1405" applyNumberFormat="1" applyFont="1" applyFill="1" applyBorder="1" applyAlignment="1">
      <alignment horizontal="left" vertical="center" wrapText="1"/>
    </xf>
    <xf numFmtId="189" fontId="134" fillId="3" borderId="1" xfId="1199" applyNumberFormat="1" applyFont="1" applyFill="1" applyBorder="1" applyAlignment="1">
      <alignment horizontal="left" vertical="center" wrapText="1"/>
    </xf>
    <xf numFmtId="0" fontId="134" fillId="3" borderId="1" xfId="1405" applyNumberFormat="1" applyFont="1" applyFill="1" applyBorder="1" applyAlignment="1">
      <alignment horizontal="center" vertical="center" wrapText="1"/>
    </xf>
    <xf numFmtId="177" fontId="134" fillId="3" borderId="1" xfId="1405" applyNumberFormat="1" applyFont="1" applyFill="1" applyBorder="1" applyAlignment="1">
      <alignment horizontal="center" vertical="center" wrapText="1"/>
    </xf>
    <xf numFmtId="178" fontId="134" fillId="3" borderId="1" xfId="1199" applyNumberFormat="1" applyFont="1" applyFill="1" applyBorder="1" applyAlignment="1">
      <alignment horizontal="center" vertical="center" wrapText="1"/>
    </xf>
    <xf numFmtId="0" fontId="134" fillId="3" borderId="1" xfId="2009" applyNumberFormat="1" applyFont="1" applyFill="1" applyBorder="1" applyAlignment="1">
      <alignment horizontal="left" vertical="center" wrapText="1"/>
    </xf>
    <xf numFmtId="0" fontId="134" fillId="3" borderId="1" xfId="1199" applyNumberFormat="1" applyFont="1" applyFill="1" applyBorder="1" applyAlignment="1">
      <alignment horizontal="left" vertical="center" wrapText="1"/>
    </xf>
    <xf numFmtId="0" fontId="134" fillId="3" borderId="1" xfId="2009" applyFont="1" applyFill="1" applyBorder="1" applyAlignment="1">
      <alignment horizontal="left" vertical="center" wrapText="1"/>
    </xf>
    <xf numFmtId="0" fontId="59" fillId="0" borderId="1" xfId="0" applyFont="1" applyBorder="1" applyAlignment="1">
      <alignment vertical="center"/>
    </xf>
    <xf numFmtId="0" fontId="136" fillId="0" borderId="1" xfId="0" applyFont="1" applyBorder="1" applyAlignment="1">
      <alignment horizontal="left" vertical="center"/>
    </xf>
    <xf numFmtId="0" fontId="59" fillId="0" borderId="24" xfId="0" applyFont="1" applyBorder="1" applyAlignment="1">
      <alignment horizontal="center" vertical="center"/>
    </xf>
    <xf numFmtId="0" fontId="136" fillId="0" borderId="24" xfId="0" applyFont="1" applyBorder="1" applyAlignment="1">
      <alignment horizontal="center" vertical="center"/>
    </xf>
    <xf numFmtId="0" fontId="136" fillId="0" borderId="24" xfId="0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 wrapText="1"/>
    </xf>
    <xf numFmtId="0" fontId="23" fillId="3" borderId="15" xfId="0" applyFont="1" applyFill="1" applyBorder="1" applyAlignment="1">
      <alignment horizontal="center" vertical="center" readingOrder="1"/>
    </xf>
    <xf numFmtId="0" fontId="23" fillId="0" borderId="15" xfId="0" applyFont="1" applyBorder="1" applyAlignment="1">
      <alignment horizontal="center" vertical="center" readingOrder="1"/>
    </xf>
    <xf numFmtId="0" fontId="23" fillId="0" borderId="15" xfId="0" applyFont="1" applyBorder="1" applyAlignment="1">
      <alignment horizontal="center" vertical="center" wrapText="1" readingOrder="1"/>
    </xf>
    <xf numFmtId="0" fontId="0" fillId="0" borderId="15" xfId="0" applyBorder="1" applyAlignment="1">
      <alignment horizontal="center" vertical="center" readingOrder="1"/>
    </xf>
    <xf numFmtId="0" fontId="115" fillId="0" borderId="15" xfId="2012" applyFont="1" applyBorder="1" applyAlignment="1">
      <alignment horizontal="center" vertical="center" wrapText="1" readingOrder="1"/>
    </xf>
    <xf numFmtId="0" fontId="115" fillId="0" borderId="15" xfId="2012" applyFont="1" applyBorder="1" applyAlignment="1">
      <alignment horizontal="left" vertical="center" wrapText="1" readingOrder="1"/>
    </xf>
    <xf numFmtId="0" fontId="138" fillId="0" borderId="15" xfId="0" applyFont="1" applyBorder="1" applyAlignment="1">
      <alignment horizontal="left" vertical="center" wrapText="1" readingOrder="1"/>
    </xf>
    <xf numFmtId="0" fontId="138" fillId="0" borderId="15" xfId="1123" applyFont="1" applyBorder="1" applyAlignment="1">
      <alignment horizontal="center" vertical="center" wrapText="1"/>
    </xf>
    <xf numFmtId="0" fontId="138" fillId="0" borderId="15" xfId="1123" applyFont="1" applyBorder="1" applyAlignment="1">
      <alignment horizontal="left" vertical="center" wrapText="1"/>
    </xf>
    <xf numFmtId="0" fontId="138" fillId="0" borderId="15" xfId="0" applyFont="1" applyBorder="1" applyAlignment="1">
      <alignment horizontal="center" vertical="center" readingOrder="1"/>
    </xf>
    <xf numFmtId="0" fontId="138" fillId="0" borderId="15" xfId="0" applyFont="1" applyBorder="1" applyAlignment="1">
      <alignment horizontal="left" vertical="center" wrapText="1"/>
    </xf>
    <xf numFmtId="0" fontId="138" fillId="0" borderId="15" xfId="0" applyFont="1" applyBorder="1" applyAlignment="1">
      <alignment horizontal="center" vertical="center"/>
    </xf>
    <xf numFmtId="1" fontId="138" fillId="0" borderId="15" xfId="0" applyNumberFormat="1" applyFont="1" applyBorder="1" applyAlignment="1">
      <alignment horizontal="center" vertical="center"/>
    </xf>
    <xf numFmtId="0" fontId="138" fillId="0" borderId="15" xfId="0" applyFont="1" applyBorder="1" applyAlignment="1">
      <alignment horizontal="center" vertical="center" wrapText="1" readingOrder="1"/>
    </xf>
    <xf numFmtId="0" fontId="138" fillId="0" borderId="15" xfId="0" applyFont="1" applyBorder="1" applyAlignment="1">
      <alignment horizontal="center" vertical="center" wrapText="1"/>
    </xf>
    <xf numFmtId="0" fontId="115" fillId="0" borderId="15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82" fontId="8" fillId="3" borderId="1" xfId="0" applyNumberFormat="1" applyFont="1" applyFill="1" applyBorder="1" applyAlignment="1" applyProtection="1">
      <alignment wrapText="1"/>
      <protection locked="0"/>
    </xf>
    <xf numFmtId="0" fontId="136" fillId="0" borderId="1" xfId="0" applyFont="1" applyBorder="1" applyAlignment="1">
      <alignment horizontal="center" vertical="center"/>
    </xf>
    <xf numFmtId="0" fontId="71" fillId="0" borderId="1" xfId="0" applyFont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/>
    </xf>
    <xf numFmtId="0" fontId="59" fillId="29" borderId="0" xfId="0" applyNumberFormat="1" applyFont="1" applyFill="1">
      <alignment vertical="center"/>
    </xf>
    <xf numFmtId="178" fontId="59" fillId="3" borderId="16" xfId="0" applyNumberFormat="1" applyFont="1" applyFill="1" applyBorder="1">
      <alignment vertical="center"/>
    </xf>
    <xf numFmtId="178" fontId="60" fillId="29" borderId="16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0" borderId="15" xfId="0" applyBorder="1">
      <alignment vertical="center"/>
    </xf>
    <xf numFmtId="0" fontId="59" fillId="29" borderId="1" xfId="0" applyFont="1" applyFill="1" applyBorder="1" applyAlignment="1">
      <alignment horizontal="center" vertical="center"/>
    </xf>
    <xf numFmtId="0" fontId="59" fillId="29" borderId="15" xfId="0" applyFont="1" applyFill="1" applyBorder="1" applyAlignment="1">
      <alignment horizontal="center" vertical="center"/>
    </xf>
    <xf numFmtId="0" fontId="71" fillId="29" borderId="1" xfId="0" applyFont="1" applyFill="1" applyBorder="1" applyAlignment="1">
      <alignment horizontal="center" vertical="center"/>
    </xf>
    <xf numFmtId="0" fontId="140" fillId="2" borderId="0" xfId="0" applyFont="1" applyFill="1" applyAlignment="1">
      <alignment horizontal="center" vertical="center"/>
    </xf>
    <xf numFmtId="0" fontId="142" fillId="3" borderId="0" xfId="0" applyFont="1" applyFill="1" applyAlignment="1">
      <alignment horizontal="center" vertical="center"/>
    </xf>
    <xf numFmtId="0" fontId="142" fillId="2" borderId="0" xfId="0" applyFont="1" applyFill="1" applyAlignment="1">
      <alignment horizontal="center" vertical="center"/>
    </xf>
    <xf numFmtId="177" fontId="140" fillId="2" borderId="0" xfId="2001" applyNumberFormat="1" applyFont="1" applyFill="1" applyAlignment="1">
      <alignment horizontal="center" vertical="center"/>
    </xf>
    <xf numFmtId="177" fontId="140" fillId="2" borderId="0" xfId="0" applyNumberFormat="1" applyFont="1" applyFill="1" applyAlignment="1">
      <alignment horizontal="center" vertical="center"/>
    </xf>
    <xf numFmtId="0" fontId="140" fillId="2" borderId="0" xfId="0" applyFont="1" applyFill="1" applyAlignment="1">
      <alignment horizontal="left" vertical="center"/>
    </xf>
    <xf numFmtId="184" fontId="143" fillId="0" borderId="0" xfId="0" applyNumberFormat="1" applyFont="1" applyFill="1" applyAlignment="1">
      <alignment horizontal="center" vertical="center" wrapText="1"/>
    </xf>
    <xf numFmtId="184" fontId="18" fillId="0" borderId="15" xfId="0" applyNumberFormat="1" applyFont="1" applyFill="1" applyBorder="1" applyAlignment="1">
      <alignment horizontal="center" vertical="center" wrapText="1"/>
    </xf>
    <xf numFmtId="184" fontId="115" fillId="0" borderId="15" xfId="1123" applyNumberFormat="1" applyFont="1" applyFill="1" applyBorder="1" applyAlignment="1">
      <alignment horizontal="center" vertical="center" wrapText="1"/>
    </xf>
    <xf numFmtId="184" fontId="18" fillId="0" borderId="0" xfId="0" applyNumberFormat="1" applyFont="1" applyFill="1" applyAlignment="1">
      <alignment horizontal="center" vertical="center" wrapText="1"/>
    </xf>
    <xf numFmtId="178" fontId="18" fillId="0" borderId="15" xfId="0" applyNumberFormat="1" applyFont="1" applyFill="1" applyBorder="1" applyAlignment="1">
      <alignment horizontal="center" vertical="center" wrapText="1"/>
    </xf>
    <xf numFmtId="184" fontId="18" fillId="0" borderId="0" xfId="0" applyNumberFormat="1" applyFont="1" applyFill="1" applyAlignment="1">
      <alignment vertical="center" wrapText="1"/>
    </xf>
    <xf numFmtId="184" fontId="143" fillId="0" borderId="0" xfId="0" applyNumberFormat="1" applyFont="1" applyFill="1" applyBorder="1" applyAlignment="1">
      <alignment horizontal="center" vertical="center" wrapText="1"/>
    </xf>
    <xf numFmtId="0" fontId="115" fillId="2" borderId="34" xfId="0" applyFont="1" applyFill="1" applyBorder="1" applyAlignment="1">
      <alignment horizontal="center" vertical="center"/>
    </xf>
    <xf numFmtId="0" fontId="140" fillId="2" borderId="1" xfId="0" applyFont="1" applyFill="1" applyBorder="1" applyAlignment="1">
      <alignment horizontal="center" vertical="center" wrapText="1"/>
    </xf>
    <xf numFmtId="0" fontId="115" fillId="2" borderId="1" xfId="0" applyFont="1" applyFill="1" applyBorder="1" applyAlignment="1">
      <alignment horizontal="center" vertical="center" wrapText="1"/>
    </xf>
    <xf numFmtId="177" fontId="115" fillId="2" borderId="1" xfId="2001" applyNumberFormat="1" applyFont="1" applyFill="1" applyBorder="1" applyAlignment="1">
      <alignment horizontal="center" vertical="center" wrapText="1"/>
    </xf>
    <xf numFmtId="177" fontId="115" fillId="2" borderId="1" xfId="0" applyNumberFormat="1" applyFont="1" applyFill="1" applyBorder="1" applyAlignment="1">
      <alignment horizontal="center" vertical="center" wrapText="1"/>
    </xf>
    <xf numFmtId="0" fontId="21" fillId="2" borderId="34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0" fontId="47" fillId="3" borderId="1" xfId="0" applyFont="1" applyFill="1" applyBorder="1" applyAlignment="1">
      <alignment horizontal="center" vertical="center"/>
    </xf>
    <xf numFmtId="177" fontId="47" fillId="3" borderId="1" xfId="2001" applyNumberFormat="1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43" fontId="142" fillId="3" borderId="1" xfId="0" applyNumberFormat="1" applyFont="1" applyFill="1" applyBorder="1" applyAlignment="1">
      <alignment horizontal="left" vertical="center"/>
    </xf>
    <xf numFmtId="0" fontId="142" fillId="3" borderId="1" xfId="0" applyNumberFormat="1" applyFont="1" applyFill="1" applyBorder="1" applyAlignment="1">
      <alignment horizontal="center" vertical="center"/>
    </xf>
    <xf numFmtId="0" fontId="20" fillId="2" borderId="34" xfId="0" applyFont="1" applyFill="1" applyBorder="1" applyAlignment="1">
      <alignment horizontal="center" vertical="center"/>
    </xf>
    <xf numFmtId="0" fontId="47" fillId="2" borderId="1" xfId="0" applyFont="1" applyFill="1" applyBorder="1" applyAlignment="1">
      <alignment horizontal="center" vertical="center"/>
    </xf>
    <xf numFmtId="177" fontId="47" fillId="2" borderId="1" xfId="2001" applyNumberFormat="1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47" fillId="2" borderId="1" xfId="0" applyFont="1" applyFill="1" applyBorder="1" applyAlignment="1">
      <alignment horizontal="center" vertical="center" wrapText="1"/>
    </xf>
    <xf numFmtId="0" fontId="47" fillId="3" borderId="1" xfId="0" applyFont="1" applyFill="1" applyBorder="1" applyAlignment="1">
      <alignment horizontal="center" vertical="center" wrapText="1"/>
    </xf>
    <xf numFmtId="0" fontId="47" fillId="2" borderId="34" xfId="0" applyFont="1" applyFill="1" applyBorder="1" applyAlignment="1">
      <alignment horizontal="center" vertical="center"/>
    </xf>
    <xf numFmtId="0" fontId="47" fillId="0" borderId="1" xfId="0" applyFont="1" applyFill="1" applyBorder="1" applyAlignment="1">
      <alignment horizontal="center" vertical="center"/>
    </xf>
    <xf numFmtId="177" fontId="47" fillId="0" borderId="1" xfId="2001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47" fillId="0" borderId="34" xfId="0" applyFont="1" applyFill="1" applyBorder="1" applyAlignment="1">
      <alignment horizontal="center" vertical="center"/>
    </xf>
    <xf numFmtId="0" fontId="47" fillId="19" borderId="1" xfId="0" applyFont="1" applyFill="1" applyBorder="1" applyAlignment="1">
      <alignment horizontal="center" vertical="center"/>
    </xf>
    <xf numFmtId="0" fontId="20" fillId="2" borderId="36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 wrapText="1"/>
    </xf>
    <xf numFmtId="0" fontId="47" fillId="0" borderId="1" xfId="0" applyFont="1" applyFill="1" applyBorder="1" applyAlignment="1">
      <alignment horizontal="center" vertical="center" wrapText="1"/>
    </xf>
    <xf numFmtId="0" fontId="47" fillId="3" borderId="34" xfId="0" applyFont="1" applyFill="1" applyBorder="1" applyAlignment="1">
      <alignment horizontal="center" vertical="center"/>
    </xf>
    <xf numFmtId="0" fontId="47" fillId="2" borderId="25" xfId="0" applyFont="1" applyFill="1" applyBorder="1" applyAlignment="1">
      <alignment horizontal="center" vertical="center" wrapText="1"/>
    </xf>
    <xf numFmtId="0" fontId="47" fillId="0" borderId="25" xfId="0" applyFont="1" applyFill="1" applyBorder="1" applyAlignment="1">
      <alignment horizontal="center" vertical="center" wrapText="1"/>
    </xf>
    <xf numFmtId="0" fontId="47" fillId="3" borderId="25" xfId="0" applyFont="1" applyFill="1" applyBorder="1" applyAlignment="1">
      <alignment horizontal="center" vertical="center" wrapText="1"/>
    </xf>
    <xf numFmtId="0" fontId="47" fillId="2" borderId="34" xfId="0" applyFont="1" applyFill="1" applyBorder="1" applyAlignment="1">
      <alignment horizontal="center" vertical="center" wrapText="1"/>
    </xf>
    <xf numFmtId="0" fontId="87" fillId="0" borderId="1" xfId="0" applyFont="1" applyBorder="1" applyAlignment="1">
      <alignment horizontal="center" vertical="center"/>
    </xf>
    <xf numFmtId="0" fontId="87" fillId="0" borderId="1" xfId="0" applyFont="1" applyBorder="1">
      <alignment vertical="center"/>
    </xf>
    <xf numFmtId="180" fontId="87" fillId="3" borderId="1" xfId="0" applyNumberFormat="1" applyFont="1" applyFill="1" applyBorder="1">
      <alignment vertical="center"/>
    </xf>
    <xf numFmtId="0" fontId="87" fillId="0" borderId="1" xfId="0" applyFont="1" applyBorder="1" applyAlignment="1">
      <alignment horizontal="right" vertical="center"/>
    </xf>
    <xf numFmtId="0" fontId="90" fillId="0" borderId="1" xfId="0" applyFont="1" applyBorder="1">
      <alignment vertical="center"/>
    </xf>
    <xf numFmtId="178" fontId="87" fillId="0" borderId="0" xfId="0" applyNumberFormat="1" applyFont="1" applyAlignment="1">
      <alignment horizontal="right" vertical="center"/>
    </xf>
    <xf numFmtId="0" fontId="87" fillId="0" borderId="1" xfId="0" applyFont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56" fillId="0" borderId="0" xfId="0" applyFont="1">
      <alignment vertical="center"/>
    </xf>
    <xf numFmtId="177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177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177" fontId="8" fillId="3" borderId="1" xfId="0" applyNumberFormat="1" applyFont="1" applyFill="1" applyBorder="1" applyAlignment="1" applyProtection="1">
      <alignment wrapText="1"/>
      <protection locked="0"/>
    </xf>
    <xf numFmtId="190" fontId="8" fillId="3" borderId="1" xfId="0" applyNumberFormat="1" applyFont="1" applyFill="1" applyBorder="1" applyAlignment="1" applyProtection="1"/>
    <xf numFmtId="190" fontId="8" fillId="3" borderId="1" xfId="0" applyNumberFormat="1" applyFont="1" applyFill="1" applyBorder="1" applyAlignment="1" applyProtection="1">
      <protection locked="0"/>
    </xf>
    <xf numFmtId="190" fontId="4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vertical="center"/>
      <protection locked="0"/>
    </xf>
    <xf numFmtId="0" fontId="7" fillId="3" borderId="3" xfId="0" applyNumberFormat="1" applyFont="1" applyFill="1" applyBorder="1" applyAlignment="1" applyProtection="1">
      <alignment horizontal="center"/>
      <protection locked="0"/>
    </xf>
    <xf numFmtId="176" fontId="8" fillId="3" borderId="3" xfId="0" applyNumberFormat="1" applyFont="1" applyFill="1" applyBorder="1" applyAlignment="1" applyProtection="1"/>
    <xf numFmtId="177" fontId="4" fillId="3" borderId="1" xfId="0" applyNumberFormat="1" applyFont="1" applyFill="1" applyBorder="1" applyAlignment="1" applyProtection="1">
      <alignment wrapText="1"/>
      <protection locked="0"/>
    </xf>
    <xf numFmtId="0" fontId="145" fillId="0" borderId="0" xfId="0" applyNumberFormat="1" applyFont="1" applyBorder="1" applyAlignment="1">
      <alignment horizontal="right" vertical="center"/>
    </xf>
    <xf numFmtId="0" fontId="146" fillId="0" borderId="1" xfId="0" applyNumberFormat="1" applyFont="1" applyBorder="1" applyAlignment="1">
      <alignment horizontal="center" vertical="center"/>
    </xf>
    <xf numFmtId="0" fontId="146" fillId="0" borderId="1" xfId="0" applyNumberFormat="1" applyFont="1" applyFill="1" applyBorder="1" applyAlignment="1">
      <alignment horizontal="center" vertical="center"/>
    </xf>
    <xf numFmtId="178" fontId="147" fillId="0" borderId="1" xfId="0" applyNumberFormat="1" applyFont="1" applyBorder="1">
      <alignment vertical="center"/>
    </xf>
    <xf numFmtId="178" fontId="148" fillId="0" borderId="1" xfId="0" applyNumberFormat="1" applyFont="1" applyBorder="1">
      <alignment vertical="center"/>
    </xf>
    <xf numFmtId="178" fontId="146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44" fillId="0" borderId="0" xfId="0" applyNumberFormat="1" applyFont="1" applyBorder="1" applyAlignment="1">
      <alignment horizontal="center" vertical="center"/>
    </xf>
    <xf numFmtId="189" fontId="0" fillId="0" borderId="0" xfId="0" applyNumberFormat="1" applyAlignment="1">
      <alignment vertical="center"/>
    </xf>
    <xf numFmtId="0" fontId="145" fillId="0" borderId="32" xfId="0" applyNumberFormat="1" applyFont="1" applyBorder="1" applyAlignment="1">
      <alignment vertical="center"/>
    </xf>
    <xf numFmtId="189" fontId="0" fillId="0" borderId="32" xfId="0" applyNumberFormat="1" applyBorder="1" applyAlignment="1">
      <alignment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0" fontId="125" fillId="2" borderId="0" xfId="1383" applyNumberFormat="1" applyFont="1" applyFill="1" applyBorder="1" applyAlignment="1" applyProtection="1">
      <alignment horizontal="center" vertical="center" wrapText="1"/>
    </xf>
    <xf numFmtId="0" fontId="99" fillId="2" borderId="0" xfId="1383" applyNumberFormat="1" applyFont="1" applyFill="1" applyBorder="1" applyAlignment="1" applyProtection="1">
      <alignment horizontal="center" vertical="center" wrapText="1"/>
    </xf>
    <xf numFmtId="178" fontId="99" fillId="2" borderId="0" xfId="1383" applyNumberFormat="1" applyFont="1" applyFill="1" applyBorder="1" applyAlignment="1" applyProtection="1">
      <alignment horizontal="center" vertical="center" wrapText="1"/>
    </xf>
    <xf numFmtId="189" fontId="131" fillId="3" borderId="32" xfId="0" applyNumberFormat="1" applyFont="1" applyFill="1" applyBorder="1" applyAlignment="1">
      <alignment horizontal="center" vertical="center"/>
    </xf>
    <xf numFmtId="0" fontId="74" fillId="0" borderId="16" xfId="0" applyFont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 wrapText="1"/>
    </xf>
    <xf numFmtId="3" fontId="74" fillId="0" borderId="14" xfId="0" applyNumberFormat="1" applyFont="1" applyBorder="1" applyAlignment="1">
      <alignment horizontal="center" vertical="center" wrapText="1"/>
    </xf>
    <xf numFmtId="3" fontId="74" fillId="0" borderId="19" xfId="0" applyNumberFormat="1" applyFont="1" applyBorder="1" applyAlignment="1">
      <alignment horizontal="center" vertical="center" wrapText="1"/>
    </xf>
    <xf numFmtId="3" fontId="74" fillId="0" borderId="3" xfId="0" applyNumberFormat="1" applyFont="1" applyBorder="1" applyAlignment="1">
      <alignment horizontal="center" vertical="center" wrapText="1"/>
    </xf>
    <xf numFmtId="38" fontId="74" fillId="0" borderId="14" xfId="0" applyNumberFormat="1" applyFont="1" applyBorder="1" applyAlignment="1">
      <alignment horizontal="center" vertical="center" wrapText="1"/>
    </xf>
    <xf numFmtId="38" fontId="74" fillId="0" borderId="19" xfId="0" applyNumberFormat="1" applyFont="1" applyBorder="1" applyAlignment="1">
      <alignment horizontal="center" vertical="center" wrapText="1"/>
    </xf>
    <xf numFmtId="38" fontId="74" fillId="0" borderId="3" xfId="0" applyNumberFormat="1" applyFont="1" applyBorder="1" applyAlignment="1">
      <alignment horizontal="center" vertical="center" wrapText="1"/>
    </xf>
    <xf numFmtId="0" fontId="74" fillId="0" borderId="14" xfId="2022" applyFont="1" applyBorder="1" applyAlignment="1">
      <alignment horizontal="center" vertical="center" wrapText="1"/>
    </xf>
    <xf numFmtId="0" fontId="74" fillId="0" borderId="19" xfId="2022" applyFont="1" applyBorder="1" applyAlignment="1">
      <alignment horizontal="center" vertical="center" wrapText="1"/>
    </xf>
    <xf numFmtId="0" fontId="74" fillId="0" borderId="3" xfId="2022" applyFont="1" applyBorder="1" applyAlignment="1">
      <alignment horizontal="center" vertical="center" wrapText="1"/>
    </xf>
    <xf numFmtId="187" fontId="74" fillId="0" borderId="14" xfId="0" applyNumberFormat="1" applyFont="1" applyBorder="1" applyAlignment="1">
      <alignment horizontal="center" vertical="center" wrapText="1"/>
    </xf>
    <xf numFmtId="187" fontId="74" fillId="0" borderId="19" xfId="0" applyNumberFormat="1" applyFont="1" applyBorder="1" applyAlignment="1">
      <alignment horizontal="center" vertical="center" wrapText="1"/>
    </xf>
    <xf numFmtId="187" fontId="74" fillId="0" borderId="3" xfId="0" applyNumberFormat="1" applyFont="1" applyBorder="1" applyAlignment="1">
      <alignment horizontal="center" vertical="center" wrapText="1"/>
    </xf>
    <xf numFmtId="0" fontId="74" fillId="0" borderId="28" xfId="0" applyFont="1" applyBorder="1" applyAlignment="1">
      <alignment horizontal="center" vertical="center" wrapText="1"/>
    </xf>
    <xf numFmtId="0" fontId="74" fillId="0" borderId="27" xfId="0" applyFont="1" applyBorder="1" applyAlignment="1">
      <alignment horizontal="center" vertical="center" wrapText="1"/>
    </xf>
    <xf numFmtId="0" fontId="74" fillId="0" borderId="26" xfId="0" applyFont="1" applyBorder="1" applyAlignment="1">
      <alignment horizontal="center" vertical="center" wrapText="1"/>
    </xf>
    <xf numFmtId="0" fontId="74" fillId="0" borderId="30" xfId="0" applyFont="1" applyBorder="1" applyAlignment="1">
      <alignment horizontal="center" vertical="center" wrapText="1"/>
    </xf>
    <xf numFmtId="0" fontId="74" fillId="0" borderId="20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74" fillId="0" borderId="14" xfId="0" applyFont="1" applyBorder="1" applyAlignment="1">
      <alignment horizontal="center" vertical="center" wrapText="1"/>
    </xf>
    <xf numFmtId="0" fontId="74" fillId="0" borderId="19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60" fillId="0" borderId="14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62" fillId="0" borderId="3" xfId="0" applyFont="1" applyBorder="1" applyAlignment="1">
      <alignment horizontal="center" vertical="center"/>
    </xf>
    <xf numFmtId="0" fontId="128" fillId="0" borderId="4" xfId="0" applyFont="1" applyBorder="1" applyAlignment="1">
      <alignment horizontal="center" vertical="center"/>
    </xf>
    <xf numFmtId="0" fontId="111" fillId="0" borderId="4" xfId="0" applyFont="1" applyBorder="1" applyAlignment="1">
      <alignment vertical="center"/>
    </xf>
    <xf numFmtId="0" fontId="127" fillId="0" borderId="15" xfId="0" applyFont="1" applyBorder="1" applyAlignment="1">
      <alignment horizontal="center" vertical="center" wrapText="1"/>
    </xf>
    <xf numFmtId="0" fontId="127" fillId="0" borderId="14" xfId="0" applyFont="1" applyBorder="1" applyAlignment="1">
      <alignment horizontal="center" vertical="center" wrapText="1"/>
    </xf>
    <xf numFmtId="0" fontId="127" fillId="0" borderId="3" xfId="0" applyFont="1" applyBorder="1" applyAlignment="1">
      <alignment horizontal="center" vertical="center" wrapText="1"/>
    </xf>
    <xf numFmtId="0" fontId="127" fillId="0" borderId="15" xfId="0" applyFont="1" applyBorder="1" applyAlignment="1">
      <alignment horizontal="center" vertical="center"/>
    </xf>
    <xf numFmtId="182" fontId="127" fillId="0" borderId="14" xfId="2014" applyNumberFormat="1" applyFont="1" applyFill="1" applyBorder="1" applyAlignment="1">
      <alignment horizontal="center" vertical="center" wrapText="1"/>
    </xf>
    <xf numFmtId="182" fontId="127" fillId="0" borderId="3" xfId="2014" applyNumberFormat="1" applyFont="1" applyFill="1" applyBorder="1" applyAlignment="1">
      <alignment horizontal="center" vertical="center" wrapText="1"/>
    </xf>
    <xf numFmtId="4" fontId="74" fillId="0" borderId="14" xfId="0" applyNumberFormat="1" applyFont="1" applyBorder="1" applyAlignment="1">
      <alignment horizontal="center" vertical="center" wrapText="1"/>
    </xf>
    <xf numFmtId="4" fontId="74" fillId="0" borderId="3" xfId="0" applyNumberFormat="1" applyFont="1" applyBorder="1" applyAlignment="1">
      <alignment horizontal="center" vertical="center" wrapText="1"/>
    </xf>
    <xf numFmtId="0" fontId="129" fillId="3" borderId="31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/>
    </xf>
    <xf numFmtId="0" fontId="130" fillId="3" borderId="32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2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  <xf numFmtId="177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3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2" fillId="3" borderId="32" xfId="0" applyNumberFormat="1" applyFont="1" applyFill="1" applyBorder="1" applyAlignment="1" applyProtection="1">
      <alignment horizontal="center" vertical="center"/>
      <protection locked="0"/>
    </xf>
    <xf numFmtId="0" fontId="5" fillId="3" borderId="32" xfId="0" applyNumberFormat="1" applyFont="1" applyFill="1" applyBorder="1" applyAlignment="1" applyProtection="1">
      <alignment horizontal="center" vertical="center"/>
      <protection locked="0"/>
    </xf>
    <xf numFmtId="0" fontId="0" fillId="3" borderId="32" xfId="0" applyFill="1" applyBorder="1" applyAlignment="1">
      <alignment horizontal="center" vertical="center"/>
    </xf>
    <xf numFmtId="0" fontId="0" fillId="3" borderId="33" xfId="0" applyFill="1" applyBorder="1" applyAlignment="1">
      <alignment wrapText="1"/>
    </xf>
    <xf numFmtId="0" fontId="0" fillId="3" borderId="3" xfId="0" applyFill="1" applyBorder="1" applyAlignment="1">
      <alignment wrapText="1"/>
    </xf>
    <xf numFmtId="0" fontId="16" fillId="0" borderId="32" xfId="0" applyFont="1" applyBorder="1" applyAlignment="1">
      <alignment horizontal="center" vertical="center"/>
    </xf>
    <xf numFmtId="184" fontId="143" fillId="0" borderId="4" xfId="0" applyNumberFormat="1" applyFont="1" applyFill="1" applyBorder="1" applyAlignment="1">
      <alignment horizontal="center" vertical="center" wrapText="1"/>
    </xf>
    <xf numFmtId="0" fontId="143" fillId="0" borderId="4" xfId="0" applyFont="1" applyBorder="1" applyAlignment="1">
      <alignment horizontal="center" vertical="center" wrapText="1"/>
    </xf>
    <xf numFmtId="0" fontId="139" fillId="2" borderId="3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41" fillId="2" borderId="34" xfId="0" applyFont="1" applyFill="1" applyBorder="1" applyAlignment="1">
      <alignment horizontal="center" vertical="center"/>
    </xf>
    <xf numFmtId="0" fontId="141" fillId="2" borderId="35" xfId="0" applyFont="1" applyFill="1" applyBorder="1" applyAlignment="1">
      <alignment horizontal="center" vertical="center"/>
    </xf>
    <xf numFmtId="0" fontId="47" fillId="2" borderId="34" xfId="0" applyFont="1" applyFill="1" applyBorder="1" applyAlignment="1">
      <alignment horizontal="center" vertical="center" wrapText="1"/>
    </xf>
    <xf numFmtId="0" fontId="47" fillId="2" borderId="36" xfId="0" applyFont="1" applyFill="1" applyBorder="1" applyAlignment="1">
      <alignment horizontal="center" vertical="center" wrapText="1"/>
    </xf>
    <xf numFmtId="0" fontId="20" fillId="2" borderId="34" xfId="0" applyFont="1" applyFill="1" applyBorder="1" applyAlignment="1">
      <alignment horizontal="center" vertical="center" wrapText="1"/>
    </xf>
    <xf numFmtId="0" fontId="20" fillId="3" borderId="34" xfId="0" applyFont="1" applyFill="1" applyBorder="1" applyAlignment="1">
      <alignment horizontal="center" vertical="center" wrapText="1"/>
    </xf>
    <xf numFmtId="0" fontId="47" fillId="3" borderId="36" xfId="0" applyFont="1" applyFill="1" applyBorder="1" applyAlignment="1">
      <alignment horizontal="center" vertical="center" wrapText="1"/>
    </xf>
    <xf numFmtId="0" fontId="20" fillId="0" borderId="34" xfId="0" applyFont="1" applyFill="1" applyBorder="1" applyAlignment="1">
      <alignment horizontal="center" vertical="center" wrapText="1"/>
    </xf>
    <xf numFmtId="0" fontId="20" fillId="0" borderId="36" xfId="0" applyFont="1" applyFill="1" applyBorder="1" applyAlignment="1">
      <alignment horizontal="center" vertical="center" wrapText="1"/>
    </xf>
    <xf numFmtId="0" fontId="20" fillId="2" borderId="36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0" fillId="3" borderId="35" xfId="0" applyFont="1" applyFill="1" applyBorder="1" applyAlignment="1">
      <alignment horizontal="center" vertical="center" wrapText="1"/>
    </xf>
    <xf numFmtId="0" fontId="20" fillId="19" borderId="36" xfId="0" applyFont="1" applyFill="1" applyBorder="1" applyAlignment="1">
      <alignment horizontal="center" vertical="center"/>
    </xf>
    <xf numFmtId="0" fontId="47" fillId="19" borderId="36" xfId="0" applyFont="1" applyFill="1" applyBorder="1" applyAlignment="1">
      <alignment horizontal="center" vertical="center"/>
    </xf>
    <xf numFmtId="0" fontId="47" fillId="19" borderId="35" xfId="0" applyFont="1" applyFill="1" applyBorder="1" applyAlignment="1">
      <alignment horizontal="center" vertical="center"/>
    </xf>
    <xf numFmtId="0" fontId="130" fillId="3" borderId="4" xfId="0" applyNumberFormat="1" applyFont="1" applyFill="1" applyBorder="1" applyAlignment="1">
      <alignment horizontal="center" vertical="center"/>
    </xf>
    <xf numFmtId="9" fontId="59" fillId="29" borderId="16" xfId="0" applyNumberFormat="1" applyFont="1" applyFill="1" applyBorder="1" applyAlignment="1">
      <alignment horizontal="center" vertical="center" wrapText="1"/>
    </xf>
    <xf numFmtId="0" fontId="59" fillId="29" borderId="16" xfId="0" applyNumberFormat="1" applyFont="1" applyFill="1" applyBorder="1" applyAlignment="1">
      <alignment horizontal="center" vertical="center"/>
    </xf>
    <xf numFmtId="0" fontId="56" fillId="0" borderId="4" xfId="0" applyFont="1" applyBorder="1" applyAlignment="1">
      <alignment vertical="center"/>
    </xf>
    <xf numFmtId="0" fontId="129" fillId="0" borderId="0" xfId="0" applyFont="1" applyBorder="1" applyAlignment="1">
      <alignment horizontal="center" vertical="center"/>
    </xf>
    <xf numFmtId="0" fontId="85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21" fillId="0" borderId="0" xfId="0" applyFont="1" applyAlignment="1">
      <alignment horizontal="center" vertical="center"/>
    </xf>
    <xf numFmtId="0" fontId="56" fillId="0" borderId="0" xfId="0" applyFont="1" applyAlignment="1">
      <alignment vertical="center"/>
    </xf>
    <xf numFmtId="178" fontId="60" fillId="3" borderId="1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178" fontId="61" fillId="3" borderId="1" xfId="0" applyNumberFormat="1" applyFont="1" applyFill="1" applyBorder="1" applyAlignment="1" applyProtection="1">
      <alignment horizontal="center" vertical="center" wrapText="1"/>
    </xf>
    <xf numFmtId="0" fontId="0" fillId="0" borderId="14" xfId="0" applyBorder="1" applyAlignment="1">
      <alignment horizontal="center" vertical="center" readingOrder="1"/>
    </xf>
    <xf numFmtId="0" fontId="0" fillId="0" borderId="33" xfId="0" applyBorder="1" applyAlignment="1">
      <alignment vertical="center" readingOrder="1"/>
    </xf>
    <xf numFmtId="0" fontId="0" fillId="0" borderId="3" xfId="0" applyBorder="1" applyAlignment="1">
      <alignment vertical="center" readingOrder="1"/>
    </xf>
    <xf numFmtId="178" fontId="0" fillId="0" borderId="14" xfId="0" applyNumberFormat="1" applyBorder="1" applyAlignment="1">
      <alignment horizontal="center" vertical="center" readingOrder="1"/>
    </xf>
    <xf numFmtId="178" fontId="0" fillId="0" borderId="33" xfId="0" applyNumberFormat="1" applyBorder="1" applyAlignment="1">
      <alignment vertical="center" readingOrder="1"/>
    </xf>
    <xf numFmtId="178" fontId="0" fillId="0" borderId="3" xfId="0" applyNumberFormat="1" applyBorder="1" applyAlignment="1">
      <alignment vertical="center" readingOrder="1"/>
    </xf>
  </cellXfs>
  <cellStyles count="2025">
    <cellStyle name="_ET_STYLE_NoName_00_" xfId="2024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3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 3" xfId="2022"/>
    <cellStyle name="常规_Sheet1_1" xfId="2009"/>
    <cellStyle name="常规_Sheet3" xfId="2020"/>
    <cellStyle name="常规_二小新校舍设备(3)" xfId="2021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60</xdr:row>
      <xdr:rowOff>38100</xdr:rowOff>
    </xdr:from>
    <xdr:to>
      <xdr:col>7</xdr:col>
      <xdr:colOff>771525</xdr:colOff>
      <xdr:row>60</xdr:row>
      <xdr:rowOff>133350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67725" y="9210675"/>
          <a:ext cx="514350" cy="952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215;&#31649;&#23398;&#26657;&#28165;&#2133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ng/Documents/WeChat%20Files/wxid_0nuvy0d1xrzc22/FileStorage/File/2023-10/&#38215;&#31649;&#20648;&#22791;&#25945;&#24072;&#21517;&#21333;&#21450;&#39044;&#31639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2023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>
        <row r="1">
          <cell r="A1" t="str">
            <v>幼儿园</v>
          </cell>
          <cell r="B1">
            <v>92157</v>
          </cell>
        </row>
        <row r="2">
          <cell r="A2" t="str">
            <v>小学</v>
          </cell>
          <cell r="B2">
            <v>101253</v>
          </cell>
        </row>
        <row r="3">
          <cell r="A3" t="str">
            <v>初中</v>
          </cell>
          <cell r="B3">
            <v>106938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3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8" sqref="C18:E18"/>
    </sheetView>
  </sheetViews>
  <sheetFormatPr defaultColWidth="9" defaultRowHeight="13.5"/>
  <cols>
    <col min="1" max="1" width="6.625" style="281" customWidth="1"/>
    <col min="2" max="2" width="31" style="863" customWidth="1"/>
    <col min="3" max="4" width="18.625" style="281" customWidth="1"/>
    <col min="5" max="5" width="23.625" style="281" customWidth="1"/>
    <col min="6" max="6" width="20.5" style="281" bestFit="1" customWidth="1"/>
    <col min="7" max="7" width="18.625" style="281" hidden="1" customWidth="1"/>
    <col min="8" max="8" width="18.375" style="281" bestFit="1" customWidth="1"/>
    <col min="9" max="9" width="14.375" style="281" hidden="1" customWidth="1"/>
    <col min="10" max="10" width="14.25" style="281" hidden="1" customWidth="1"/>
    <col min="11" max="254" width="9" style="281"/>
    <col min="255" max="255" width="6.625" style="281" customWidth="1"/>
    <col min="256" max="257" width="21.625" style="281" customWidth="1"/>
    <col min="258" max="258" width="16.125" style="281" bestFit="1" customWidth="1"/>
    <col min="259" max="259" width="13.875" style="281" bestFit="1" customWidth="1"/>
    <col min="260" max="260" width="17.25" style="281" bestFit="1" customWidth="1"/>
    <col min="261" max="262" width="20.5" style="281" bestFit="1" customWidth="1"/>
    <col min="263" max="263" width="0" style="281" hidden="1" customWidth="1"/>
    <col min="264" max="264" width="18.375" style="281" bestFit="1" customWidth="1"/>
    <col min="265" max="266" width="0" style="281" hidden="1" customWidth="1"/>
    <col min="267" max="510" width="9" style="281"/>
    <col min="511" max="511" width="6.625" style="281" customWidth="1"/>
    <col min="512" max="513" width="21.625" style="281" customWidth="1"/>
    <col min="514" max="514" width="16.125" style="281" bestFit="1" customWidth="1"/>
    <col min="515" max="515" width="13.875" style="281" bestFit="1" customWidth="1"/>
    <col min="516" max="516" width="17.25" style="281" bestFit="1" customWidth="1"/>
    <col min="517" max="518" width="20.5" style="281" bestFit="1" customWidth="1"/>
    <col min="519" max="519" width="0" style="281" hidden="1" customWidth="1"/>
    <col min="520" max="520" width="18.375" style="281" bestFit="1" customWidth="1"/>
    <col min="521" max="522" width="0" style="281" hidden="1" customWidth="1"/>
    <col min="523" max="766" width="9" style="281"/>
    <col min="767" max="767" width="6.625" style="281" customWidth="1"/>
    <col min="768" max="769" width="21.625" style="281" customWidth="1"/>
    <col min="770" max="770" width="16.125" style="281" bestFit="1" customWidth="1"/>
    <col min="771" max="771" width="13.875" style="281" bestFit="1" customWidth="1"/>
    <col min="772" max="772" width="17.25" style="281" bestFit="1" customWidth="1"/>
    <col min="773" max="774" width="20.5" style="281" bestFit="1" customWidth="1"/>
    <col min="775" max="775" width="0" style="281" hidden="1" customWidth="1"/>
    <col min="776" max="776" width="18.375" style="281" bestFit="1" customWidth="1"/>
    <col min="777" max="778" width="0" style="281" hidden="1" customWidth="1"/>
    <col min="779" max="1022" width="9" style="281"/>
    <col min="1023" max="1023" width="6.625" style="281" customWidth="1"/>
    <col min="1024" max="1025" width="21.625" style="281" customWidth="1"/>
    <col min="1026" max="1026" width="16.125" style="281" bestFit="1" customWidth="1"/>
    <col min="1027" max="1027" width="13.875" style="281" bestFit="1" customWidth="1"/>
    <col min="1028" max="1028" width="17.25" style="281" bestFit="1" customWidth="1"/>
    <col min="1029" max="1030" width="20.5" style="281" bestFit="1" customWidth="1"/>
    <col min="1031" max="1031" width="0" style="281" hidden="1" customWidth="1"/>
    <col min="1032" max="1032" width="18.375" style="281" bestFit="1" customWidth="1"/>
    <col min="1033" max="1034" width="0" style="281" hidden="1" customWidth="1"/>
    <col min="1035" max="1278" width="9" style="281"/>
    <col min="1279" max="1279" width="6.625" style="281" customWidth="1"/>
    <col min="1280" max="1281" width="21.625" style="281" customWidth="1"/>
    <col min="1282" max="1282" width="16.125" style="281" bestFit="1" customWidth="1"/>
    <col min="1283" max="1283" width="13.875" style="281" bestFit="1" customWidth="1"/>
    <col min="1284" max="1284" width="17.25" style="281" bestFit="1" customWidth="1"/>
    <col min="1285" max="1286" width="20.5" style="281" bestFit="1" customWidth="1"/>
    <col min="1287" max="1287" width="0" style="281" hidden="1" customWidth="1"/>
    <col min="1288" max="1288" width="18.375" style="281" bestFit="1" customWidth="1"/>
    <col min="1289" max="1290" width="0" style="281" hidden="1" customWidth="1"/>
    <col min="1291" max="1534" width="9" style="281"/>
    <col min="1535" max="1535" width="6.625" style="281" customWidth="1"/>
    <col min="1536" max="1537" width="21.625" style="281" customWidth="1"/>
    <col min="1538" max="1538" width="16.125" style="281" bestFit="1" customWidth="1"/>
    <col min="1539" max="1539" width="13.875" style="281" bestFit="1" customWidth="1"/>
    <col min="1540" max="1540" width="17.25" style="281" bestFit="1" customWidth="1"/>
    <col min="1541" max="1542" width="20.5" style="281" bestFit="1" customWidth="1"/>
    <col min="1543" max="1543" width="0" style="281" hidden="1" customWidth="1"/>
    <col min="1544" max="1544" width="18.375" style="281" bestFit="1" customWidth="1"/>
    <col min="1545" max="1546" width="0" style="281" hidden="1" customWidth="1"/>
    <col min="1547" max="1790" width="9" style="281"/>
    <col min="1791" max="1791" width="6.625" style="281" customWidth="1"/>
    <col min="1792" max="1793" width="21.625" style="281" customWidth="1"/>
    <col min="1794" max="1794" width="16.125" style="281" bestFit="1" customWidth="1"/>
    <col min="1795" max="1795" width="13.875" style="281" bestFit="1" customWidth="1"/>
    <col min="1796" max="1796" width="17.25" style="281" bestFit="1" customWidth="1"/>
    <col min="1797" max="1798" width="20.5" style="281" bestFit="1" customWidth="1"/>
    <col min="1799" max="1799" width="0" style="281" hidden="1" customWidth="1"/>
    <col min="1800" max="1800" width="18.375" style="281" bestFit="1" customWidth="1"/>
    <col min="1801" max="1802" width="0" style="281" hidden="1" customWidth="1"/>
    <col min="1803" max="2046" width="9" style="281"/>
    <col min="2047" max="2047" width="6.625" style="281" customWidth="1"/>
    <col min="2048" max="2049" width="21.625" style="281" customWidth="1"/>
    <col min="2050" max="2050" width="16.125" style="281" bestFit="1" customWidth="1"/>
    <col min="2051" max="2051" width="13.875" style="281" bestFit="1" customWidth="1"/>
    <col min="2052" max="2052" width="17.25" style="281" bestFit="1" customWidth="1"/>
    <col min="2053" max="2054" width="20.5" style="281" bestFit="1" customWidth="1"/>
    <col min="2055" max="2055" width="0" style="281" hidden="1" customWidth="1"/>
    <col min="2056" max="2056" width="18.375" style="281" bestFit="1" customWidth="1"/>
    <col min="2057" max="2058" width="0" style="281" hidden="1" customWidth="1"/>
    <col min="2059" max="2302" width="9" style="281"/>
    <col min="2303" max="2303" width="6.625" style="281" customWidth="1"/>
    <col min="2304" max="2305" width="21.625" style="281" customWidth="1"/>
    <col min="2306" max="2306" width="16.125" style="281" bestFit="1" customWidth="1"/>
    <col min="2307" max="2307" width="13.875" style="281" bestFit="1" customWidth="1"/>
    <col min="2308" max="2308" width="17.25" style="281" bestFit="1" customWidth="1"/>
    <col min="2309" max="2310" width="20.5" style="281" bestFit="1" customWidth="1"/>
    <col min="2311" max="2311" width="0" style="281" hidden="1" customWidth="1"/>
    <col min="2312" max="2312" width="18.375" style="281" bestFit="1" customWidth="1"/>
    <col min="2313" max="2314" width="0" style="281" hidden="1" customWidth="1"/>
    <col min="2315" max="2558" width="9" style="281"/>
    <col min="2559" max="2559" width="6.625" style="281" customWidth="1"/>
    <col min="2560" max="2561" width="21.625" style="281" customWidth="1"/>
    <col min="2562" max="2562" width="16.125" style="281" bestFit="1" customWidth="1"/>
    <col min="2563" max="2563" width="13.875" style="281" bestFit="1" customWidth="1"/>
    <col min="2564" max="2564" width="17.25" style="281" bestFit="1" customWidth="1"/>
    <col min="2565" max="2566" width="20.5" style="281" bestFit="1" customWidth="1"/>
    <col min="2567" max="2567" width="0" style="281" hidden="1" customWidth="1"/>
    <col min="2568" max="2568" width="18.375" style="281" bestFit="1" customWidth="1"/>
    <col min="2569" max="2570" width="0" style="281" hidden="1" customWidth="1"/>
    <col min="2571" max="2814" width="9" style="281"/>
    <col min="2815" max="2815" width="6.625" style="281" customWidth="1"/>
    <col min="2816" max="2817" width="21.625" style="281" customWidth="1"/>
    <col min="2818" max="2818" width="16.125" style="281" bestFit="1" customWidth="1"/>
    <col min="2819" max="2819" width="13.875" style="281" bestFit="1" customWidth="1"/>
    <col min="2820" max="2820" width="17.25" style="281" bestFit="1" customWidth="1"/>
    <col min="2821" max="2822" width="20.5" style="281" bestFit="1" customWidth="1"/>
    <col min="2823" max="2823" width="0" style="281" hidden="1" customWidth="1"/>
    <col min="2824" max="2824" width="18.375" style="281" bestFit="1" customWidth="1"/>
    <col min="2825" max="2826" width="0" style="281" hidden="1" customWidth="1"/>
    <col min="2827" max="3070" width="9" style="281"/>
    <col min="3071" max="3071" width="6.625" style="281" customWidth="1"/>
    <col min="3072" max="3073" width="21.625" style="281" customWidth="1"/>
    <col min="3074" max="3074" width="16.125" style="281" bestFit="1" customWidth="1"/>
    <col min="3075" max="3075" width="13.875" style="281" bestFit="1" customWidth="1"/>
    <col min="3076" max="3076" width="17.25" style="281" bestFit="1" customWidth="1"/>
    <col min="3077" max="3078" width="20.5" style="281" bestFit="1" customWidth="1"/>
    <col min="3079" max="3079" width="0" style="281" hidden="1" customWidth="1"/>
    <col min="3080" max="3080" width="18.375" style="281" bestFit="1" customWidth="1"/>
    <col min="3081" max="3082" width="0" style="281" hidden="1" customWidth="1"/>
    <col min="3083" max="3326" width="9" style="281"/>
    <col min="3327" max="3327" width="6.625" style="281" customWidth="1"/>
    <col min="3328" max="3329" width="21.625" style="281" customWidth="1"/>
    <col min="3330" max="3330" width="16.125" style="281" bestFit="1" customWidth="1"/>
    <col min="3331" max="3331" width="13.875" style="281" bestFit="1" customWidth="1"/>
    <col min="3332" max="3332" width="17.25" style="281" bestFit="1" customWidth="1"/>
    <col min="3333" max="3334" width="20.5" style="281" bestFit="1" customWidth="1"/>
    <col min="3335" max="3335" width="0" style="281" hidden="1" customWidth="1"/>
    <col min="3336" max="3336" width="18.375" style="281" bestFit="1" customWidth="1"/>
    <col min="3337" max="3338" width="0" style="281" hidden="1" customWidth="1"/>
    <col min="3339" max="3582" width="9" style="281"/>
    <col min="3583" max="3583" width="6.625" style="281" customWidth="1"/>
    <col min="3584" max="3585" width="21.625" style="281" customWidth="1"/>
    <col min="3586" max="3586" width="16.125" style="281" bestFit="1" customWidth="1"/>
    <col min="3587" max="3587" width="13.875" style="281" bestFit="1" customWidth="1"/>
    <col min="3588" max="3588" width="17.25" style="281" bestFit="1" customWidth="1"/>
    <col min="3589" max="3590" width="20.5" style="281" bestFit="1" customWidth="1"/>
    <col min="3591" max="3591" width="0" style="281" hidden="1" customWidth="1"/>
    <col min="3592" max="3592" width="18.375" style="281" bestFit="1" customWidth="1"/>
    <col min="3593" max="3594" width="0" style="281" hidden="1" customWidth="1"/>
    <col min="3595" max="3838" width="9" style="281"/>
    <col min="3839" max="3839" width="6.625" style="281" customWidth="1"/>
    <col min="3840" max="3841" width="21.625" style="281" customWidth="1"/>
    <col min="3842" max="3842" width="16.125" style="281" bestFit="1" customWidth="1"/>
    <col min="3843" max="3843" width="13.875" style="281" bestFit="1" customWidth="1"/>
    <col min="3844" max="3844" width="17.25" style="281" bestFit="1" customWidth="1"/>
    <col min="3845" max="3846" width="20.5" style="281" bestFit="1" customWidth="1"/>
    <col min="3847" max="3847" width="0" style="281" hidden="1" customWidth="1"/>
    <col min="3848" max="3848" width="18.375" style="281" bestFit="1" customWidth="1"/>
    <col min="3849" max="3850" width="0" style="281" hidden="1" customWidth="1"/>
    <col min="3851" max="4094" width="9" style="281"/>
    <col min="4095" max="4095" width="6.625" style="281" customWidth="1"/>
    <col min="4096" max="4097" width="21.625" style="281" customWidth="1"/>
    <col min="4098" max="4098" width="16.125" style="281" bestFit="1" customWidth="1"/>
    <col min="4099" max="4099" width="13.875" style="281" bestFit="1" customWidth="1"/>
    <col min="4100" max="4100" width="17.25" style="281" bestFit="1" customWidth="1"/>
    <col min="4101" max="4102" width="20.5" style="281" bestFit="1" customWidth="1"/>
    <col min="4103" max="4103" width="0" style="281" hidden="1" customWidth="1"/>
    <col min="4104" max="4104" width="18.375" style="281" bestFit="1" customWidth="1"/>
    <col min="4105" max="4106" width="0" style="281" hidden="1" customWidth="1"/>
    <col min="4107" max="4350" width="9" style="281"/>
    <col min="4351" max="4351" width="6.625" style="281" customWidth="1"/>
    <col min="4352" max="4353" width="21.625" style="281" customWidth="1"/>
    <col min="4354" max="4354" width="16.125" style="281" bestFit="1" customWidth="1"/>
    <col min="4355" max="4355" width="13.875" style="281" bestFit="1" customWidth="1"/>
    <col min="4356" max="4356" width="17.25" style="281" bestFit="1" customWidth="1"/>
    <col min="4357" max="4358" width="20.5" style="281" bestFit="1" customWidth="1"/>
    <col min="4359" max="4359" width="0" style="281" hidden="1" customWidth="1"/>
    <col min="4360" max="4360" width="18.375" style="281" bestFit="1" customWidth="1"/>
    <col min="4361" max="4362" width="0" style="281" hidden="1" customWidth="1"/>
    <col min="4363" max="4606" width="9" style="281"/>
    <col min="4607" max="4607" width="6.625" style="281" customWidth="1"/>
    <col min="4608" max="4609" width="21.625" style="281" customWidth="1"/>
    <col min="4610" max="4610" width="16.125" style="281" bestFit="1" customWidth="1"/>
    <col min="4611" max="4611" width="13.875" style="281" bestFit="1" customWidth="1"/>
    <col min="4612" max="4612" width="17.25" style="281" bestFit="1" customWidth="1"/>
    <col min="4613" max="4614" width="20.5" style="281" bestFit="1" customWidth="1"/>
    <col min="4615" max="4615" width="0" style="281" hidden="1" customWidth="1"/>
    <col min="4616" max="4616" width="18.375" style="281" bestFit="1" customWidth="1"/>
    <col min="4617" max="4618" width="0" style="281" hidden="1" customWidth="1"/>
    <col min="4619" max="4862" width="9" style="281"/>
    <col min="4863" max="4863" width="6.625" style="281" customWidth="1"/>
    <col min="4864" max="4865" width="21.625" style="281" customWidth="1"/>
    <col min="4866" max="4866" width="16.125" style="281" bestFit="1" customWidth="1"/>
    <col min="4867" max="4867" width="13.875" style="281" bestFit="1" customWidth="1"/>
    <col min="4868" max="4868" width="17.25" style="281" bestFit="1" customWidth="1"/>
    <col min="4869" max="4870" width="20.5" style="281" bestFit="1" customWidth="1"/>
    <col min="4871" max="4871" width="0" style="281" hidden="1" customWidth="1"/>
    <col min="4872" max="4872" width="18.375" style="281" bestFit="1" customWidth="1"/>
    <col min="4873" max="4874" width="0" style="281" hidden="1" customWidth="1"/>
    <col min="4875" max="5118" width="9" style="281"/>
    <col min="5119" max="5119" width="6.625" style="281" customWidth="1"/>
    <col min="5120" max="5121" width="21.625" style="281" customWidth="1"/>
    <col min="5122" max="5122" width="16.125" style="281" bestFit="1" customWidth="1"/>
    <col min="5123" max="5123" width="13.875" style="281" bestFit="1" customWidth="1"/>
    <col min="5124" max="5124" width="17.25" style="281" bestFit="1" customWidth="1"/>
    <col min="5125" max="5126" width="20.5" style="281" bestFit="1" customWidth="1"/>
    <col min="5127" max="5127" width="0" style="281" hidden="1" customWidth="1"/>
    <col min="5128" max="5128" width="18.375" style="281" bestFit="1" customWidth="1"/>
    <col min="5129" max="5130" width="0" style="281" hidden="1" customWidth="1"/>
    <col min="5131" max="5374" width="9" style="281"/>
    <col min="5375" max="5375" width="6.625" style="281" customWidth="1"/>
    <col min="5376" max="5377" width="21.625" style="281" customWidth="1"/>
    <col min="5378" max="5378" width="16.125" style="281" bestFit="1" customWidth="1"/>
    <col min="5379" max="5379" width="13.875" style="281" bestFit="1" customWidth="1"/>
    <col min="5380" max="5380" width="17.25" style="281" bestFit="1" customWidth="1"/>
    <col min="5381" max="5382" width="20.5" style="281" bestFit="1" customWidth="1"/>
    <col min="5383" max="5383" width="0" style="281" hidden="1" customWidth="1"/>
    <col min="5384" max="5384" width="18.375" style="281" bestFit="1" customWidth="1"/>
    <col min="5385" max="5386" width="0" style="281" hidden="1" customWidth="1"/>
    <col min="5387" max="5630" width="9" style="281"/>
    <col min="5631" max="5631" width="6.625" style="281" customWidth="1"/>
    <col min="5632" max="5633" width="21.625" style="281" customWidth="1"/>
    <col min="5634" max="5634" width="16.125" style="281" bestFit="1" customWidth="1"/>
    <col min="5635" max="5635" width="13.875" style="281" bestFit="1" customWidth="1"/>
    <col min="5636" max="5636" width="17.25" style="281" bestFit="1" customWidth="1"/>
    <col min="5637" max="5638" width="20.5" style="281" bestFit="1" customWidth="1"/>
    <col min="5639" max="5639" width="0" style="281" hidden="1" customWidth="1"/>
    <col min="5640" max="5640" width="18.375" style="281" bestFit="1" customWidth="1"/>
    <col min="5641" max="5642" width="0" style="281" hidden="1" customWidth="1"/>
    <col min="5643" max="5886" width="9" style="281"/>
    <col min="5887" max="5887" width="6.625" style="281" customWidth="1"/>
    <col min="5888" max="5889" width="21.625" style="281" customWidth="1"/>
    <col min="5890" max="5890" width="16.125" style="281" bestFit="1" customWidth="1"/>
    <col min="5891" max="5891" width="13.875" style="281" bestFit="1" customWidth="1"/>
    <col min="5892" max="5892" width="17.25" style="281" bestFit="1" customWidth="1"/>
    <col min="5893" max="5894" width="20.5" style="281" bestFit="1" customWidth="1"/>
    <col min="5895" max="5895" width="0" style="281" hidden="1" customWidth="1"/>
    <col min="5896" max="5896" width="18.375" style="281" bestFit="1" customWidth="1"/>
    <col min="5897" max="5898" width="0" style="281" hidden="1" customWidth="1"/>
    <col min="5899" max="6142" width="9" style="281"/>
    <col min="6143" max="6143" width="6.625" style="281" customWidth="1"/>
    <col min="6144" max="6145" width="21.625" style="281" customWidth="1"/>
    <col min="6146" max="6146" width="16.125" style="281" bestFit="1" customWidth="1"/>
    <col min="6147" max="6147" width="13.875" style="281" bestFit="1" customWidth="1"/>
    <col min="6148" max="6148" width="17.25" style="281" bestFit="1" customWidth="1"/>
    <col min="6149" max="6150" width="20.5" style="281" bestFit="1" customWidth="1"/>
    <col min="6151" max="6151" width="0" style="281" hidden="1" customWidth="1"/>
    <col min="6152" max="6152" width="18.375" style="281" bestFit="1" customWidth="1"/>
    <col min="6153" max="6154" width="0" style="281" hidden="1" customWidth="1"/>
    <col min="6155" max="6398" width="9" style="281"/>
    <col min="6399" max="6399" width="6.625" style="281" customWidth="1"/>
    <col min="6400" max="6401" width="21.625" style="281" customWidth="1"/>
    <col min="6402" max="6402" width="16.125" style="281" bestFit="1" customWidth="1"/>
    <col min="6403" max="6403" width="13.875" style="281" bestFit="1" customWidth="1"/>
    <col min="6404" max="6404" width="17.25" style="281" bestFit="1" customWidth="1"/>
    <col min="6405" max="6406" width="20.5" style="281" bestFit="1" customWidth="1"/>
    <col min="6407" max="6407" width="0" style="281" hidden="1" customWidth="1"/>
    <col min="6408" max="6408" width="18.375" style="281" bestFit="1" customWidth="1"/>
    <col min="6409" max="6410" width="0" style="281" hidden="1" customWidth="1"/>
    <col min="6411" max="6654" width="9" style="281"/>
    <col min="6655" max="6655" width="6.625" style="281" customWidth="1"/>
    <col min="6656" max="6657" width="21.625" style="281" customWidth="1"/>
    <col min="6658" max="6658" width="16.125" style="281" bestFit="1" customWidth="1"/>
    <col min="6659" max="6659" width="13.875" style="281" bestFit="1" customWidth="1"/>
    <col min="6660" max="6660" width="17.25" style="281" bestFit="1" customWidth="1"/>
    <col min="6661" max="6662" width="20.5" style="281" bestFit="1" customWidth="1"/>
    <col min="6663" max="6663" width="0" style="281" hidden="1" customWidth="1"/>
    <col min="6664" max="6664" width="18.375" style="281" bestFit="1" customWidth="1"/>
    <col min="6665" max="6666" width="0" style="281" hidden="1" customWidth="1"/>
    <col min="6667" max="6910" width="9" style="281"/>
    <col min="6911" max="6911" width="6.625" style="281" customWidth="1"/>
    <col min="6912" max="6913" width="21.625" style="281" customWidth="1"/>
    <col min="6914" max="6914" width="16.125" style="281" bestFit="1" customWidth="1"/>
    <col min="6915" max="6915" width="13.875" style="281" bestFit="1" customWidth="1"/>
    <col min="6916" max="6916" width="17.25" style="281" bestFit="1" customWidth="1"/>
    <col min="6917" max="6918" width="20.5" style="281" bestFit="1" customWidth="1"/>
    <col min="6919" max="6919" width="0" style="281" hidden="1" customWidth="1"/>
    <col min="6920" max="6920" width="18.375" style="281" bestFit="1" customWidth="1"/>
    <col min="6921" max="6922" width="0" style="281" hidden="1" customWidth="1"/>
    <col min="6923" max="7166" width="9" style="281"/>
    <col min="7167" max="7167" width="6.625" style="281" customWidth="1"/>
    <col min="7168" max="7169" width="21.625" style="281" customWidth="1"/>
    <col min="7170" max="7170" width="16.125" style="281" bestFit="1" customWidth="1"/>
    <col min="7171" max="7171" width="13.875" style="281" bestFit="1" customWidth="1"/>
    <col min="7172" max="7172" width="17.25" style="281" bestFit="1" customWidth="1"/>
    <col min="7173" max="7174" width="20.5" style="281" bestFit="1" customWidth="1"/>
    <col min="7175" max="7175" width="0" style="281" hidden="1" customWidth="1"/>
    <col min="7176" max="7176" width="18.375" style="281" bestFit="1" customWidth="1"/>
    <col min="7177" max="7178" width="0" style="281" hidden="1" customWidth="1"/>
    <col min="7179" max="7422" width="9" style="281"/>
    <col min="7423" max="7423" width="6.625" style="281" customWidth="1"/>
    <col min="7424" max="7425" width="21.625" style="281" customWidth="1"/>
    <col min="7426" max="7426" width="16.125" style="281" bestFit="1" customWidth="1"/>
    <col min="7427" max="7427" width="13.875" style="281" bestFit="1" customWidth="1"/>
    <col min="7428" max="7428" width="17.25" style="281" bestFit="1" customWidth="1"/>
    <col min="7429" max="7430" width="20.5" style="281" bestFit="1" customWidth="1"/>
    <col min="7431" max="7431" width="0" style="281" hidden="1" customWidth="1"/>
    <col min="7432" max="7432" width="18.375" style="281" bestFit="1" customWidth="1"/>
    <col min="7433" max="7434" width="0" style="281" hidden="1" customWidth="1"/>
    <col min="7435" max="7678" width="9" style="281"/>
    <col min="7679" max="7679" width="6.625" style="281" customWidth="1"/>
    <col min="7680" max="7681" width="21.625" style="281" customWidth="1"/>
    <col min="7682" max="7682" width="16.125" style="281" bestFit="1" customWidth="1"/>
    <col min="7683" max="7683" width="13.875" style="281" bestFit="1" customWidth="1"/>
    <col min="7684" max="7684" width="17.25" style="281" bestFit="1" customWidth="1"/>
    <col min="7685" max="7686" width="20.5" style="281" bestFit="1" customWidth="1"/>
    <col min="7687" max="7687" width="0" style="281" hidden="1" customWidth="1"/>
    <col min="7688" max="7688" width="18.375" style="281" bestFit="1" customWidth="1"/>
    <col min="7689" max="7690" width="0" style="281" hidden="1" customWidth="1"/>
    <col min="7691" max="7934" width="9" style="281"/>
    <col min="7935" max="7935" width="6.625" style="281" customWidth="1"/>
    <col min="7936" max="7937" width="21.625" style="281" customWidth="1"/>
    <col min="7938" max="7938" width="16.125" style="281" bestFit="1" customWidth="1"/>
    <col min="7939" max="7939" width="13.875" style="281" bestFit="1" customWidth="1"/>
    <col min="7940" max="7940" width="17.25" style="281" bestFit="1" customWidth="1"/>
    <col min="7941" max="7942" width="20.5" style="281" bestFit="1" customWidth="1"/>
    <col min="7943" max="7943" width="0" style="281" hidden="1" customWidth="1"/>
    <col min="7944" max="7944" width="18.375" style="281" bestFit="1" customWidth="1"/>
    <col min="7945" max="7946" width="0" style="281" hidden="1" customWidth="1"/>
    <col min="7947" max="8190" width="9" style="281"/>
    <col min="8191" max="8191" width="6.625" style="281" customWidth="1"/>
    <col min="8192" max="8193" width="21.625" style="281" customWidth="1"/>
    <col min="8194" max="8194" width="16.125" style="281" bestFit="1" customWidth="1"/>
    <col min="8195" max="8195" width="13.875" style="281" bestFit="1" customWidth="1"/>
    <col min="8196" max="8196" width="17.25" style="281" bestFit="1" customWidth="1"/>
    <col min="8197" max="8198" width="20.5" style="281" bestFit="1" customWidth="1"/>
    <col min="8199" max="8199" width="0" style="281" hidden="1" customWidth="1"/>
    <col min="8200" max="8200" width="18.375" style="281" bestFit="1" customWidth="1"/>
    <col min="8201" max="8202" width="0" style="281" hidden="1" customWidth="1"/>
    <col min="8203" max="8446" width="9" style="281"/>
    <col min="8447" max="8447" width="6.625" style="281" customWidth="1"/>
    <col min="8448" max="8449" width="21.625" style="281" customWidth="1"/>
    <col min="8450" max="8450" width="16.125" style="281" bestFit="1" customWidth="1"/>
    <col min="8451" max="8451" width="13.875" style="281" bestFit="1" customWidth="1"/>
    <col min="8452" max="8452" width="17.25" style="281" bestFit="1" customWidth="1"/>
    <col min="8453" max="8454" width="20.5" style="281" bestFit="1" customWidth="1"/>
    <col min="8455" max="8455" width="0" style="281" hidden="1" customWidth="1"/>
    <col min="8456" max="8456" width="18.375" style="281" bestFit="1" customWidth="1"/>
    <col min="8457" max="8458" width="0" style="281" hidden="1" customWidth="1"/>
    <col min="8459" max="8702" width="9" style="281"/>
    <col min="8703" max="8703" width="6.625" style="281" customWidth="1"/>
    <col min="8704" max="8705" width="21.625" style="281" customWidth="1"/>
    <col min="8706" max="8706" width="16.125" style="281" bestFit="1" customWidth="1"/>
    <col min="8707" max="8707" width="13.875" style="281" bestFit="1" customWidth="1"/>
    <col min="8708" max="8708" width="17.25" style="281" bestFit="1" customWidth="1"/>
    <col min="8709" max="8710" width="20.5" style="281" bestFit="1" customWidth="1"/>
    <col min="8711" max="8711" width="0" style="281" hidden="1" customWidth="1"/>
    <col min="8712" max="8712" width="18.375" style="281" bestFit="1" customWidth="1"/>
    <col min="8713" max="8714" width="0" style="281" hidden="1" customWidth="1"/>
    <col min="8715" max="8958" width="9" style="281"/>
    <col min="8959" max="8959" width="6.625" style="281" customWidth="1"/>
    <col min="8960" max="8961" width="21.625" style="281" customWidth="1"/>
    <col min="8962" max="8962" width="16.125" style="281" bestFit="1" customWidth="1"/>
    <col min="8963" max="8963" width="13.875" style="281" bestFit="1" customWidth="1"/>
    <col min="8964" max="8964" width="17.25" style="281" bestFit="1" customWidth="1"/>
    <col min="8965" max="8966" width="20.5" style="281" bestFit="1" customWidth="1"/>
    <col min="8967" max="8967" width="0" style="281" hidden="1" customWidth="1"/>
    <col min="8968" max="8968" width="18.375" style="281" bestFit="1" customWidth="1"/>
    <col min="8969" max="8970" width="0" style="281" hidden="1" customWidth="1"/>
    <col min="8971" max="9214" width="9" style="281"/>
    <col min="9215" max="9215" width="6.625" style="281" customWidth="1"/>
    <col min="9216" max="9217" width="21.625" style="281" customWidth="1"/>
    <col min="9218" max="9218" width="16.125" style="281" bestFit="1" customWidth="1"/>
    <col min="9219" max="9219" width="13.875" style="281" bestFit="1" customWidth="1"/>
    <col min="9220" max="9220" width="17.25" style="281" bestFit="1" customWidth="1"/>
    <col min="9221" max="9222" width="20.5" style="281" bestFit="1" customWidth="1"/>
    <col min="9223" max="9223" width="0" style="281" hidden="1" customWidth="1"/>
    <col min="9224" max="9224" width="18.375" style="281" bestFit="1" customWidth="1"/>
    <col min="9225" max="9226" width="0" style="281" hidden="1" customWidth="1"/>
    <col min="9227" max="9470" width="9" style="281"/>
    <col min="9471" max="9471" width="6.625" style="281" customWidth="1"/>
    <col min="9472" max="9473" width="21.625" style="281" customWidth="1"/>
    <col min="9474" max="9474" width="16.125" style="281" bestFit="1" customWidth="1"/>
    <col min="9475" max="9475" width="13.875" style="281" bestFit="1" customWidth="1"/>
    <col min="9476" max="9476" width="17.25" style="281" bestFit="1" customWidth="1"/>
    <col min="9477" max="9478" width="20.5" style="281" bestFit="1" customWidth="1"/>
    <col min="9479" max="9479" width="0" style="281" hidden="1" customWidth="1"/>
    <col min="9480" max="9480" width="18.375" style="281" bestFit="1" customWidth="1"/>
    <col min="9481" max="9482" width="0" style="281" hidden="1" customWidth="1"/>
    <col min="9483" max="9726" width="9" style="281"/>
    <col min="9727" max="9727" width="6.625" style="281" customWidth="1"/>
    <col min="9728" max="9729" width="21.625" style="281" customWidth="1"/>
    <col min="9730" max="9730" width="16.125" style="281" bestFit="1" customWidth="1"/>
    <col min="9731" max="9731" width="13.875" style="281" bestFit="1" customWidth="1"/>
    <col min="9732" max="9732" width="17.25" style="281" bestFit="1" customWidth="1"/>
    <col min="9733" max="9734" width="20.5" style="281" bestFit="1" customWidth="1"/>
    <col min="9735" max="9735" width="0" style="281" hidden="1" customWidth="1"/>
    <col min="9736" max="9736" width="18.375" style="281" bestFit="1" customWidth="1"/>
    <col min="9737" max="9738" width="0" style="281" hidden="1" customWidth="1"/>
    <col min="9739" max="9982" width="9" style="281"/>
    <col min="9983" max="9983" width="6.625" style="281" customWidth="1"/>
    <col min="9984" max="9985" width="21.625" style="281" customWidth="1"/>
    <col min="9986" max="9986" width="16.125" style="281" bestFit="1" customWidth="1"/>
    <col min="9987" max="9987" width="13.875" style="281" bestFit="1" customWidth="1"/>
    <col min="9988" max="9988" width="17.25" style="281" bestFit="1" customWidth="1"/>
    <col min="9989" max="9990" width="20.5" style="281" bestFit="1" customWidth="1"/>
    <col min="9991" max="9991" width="0" style="281" hidden="1" customWidth="1"/>
    <col min="9992" max="9992" width="18.375" style="281" bestFit="1" customWidth="1"/>
    <col min="9993" max="9994" width="0" style="281" hidden="1" customWidth="1"/>
    <col min="9995" max="10238" width="9" style="281"/>
    <col min="10239" max="10239" width="6.625" style="281" customWidth="1"/>
    <col min="10240" max="10241" width="21.625" style="281" customWidth="1"/>
    <col min="10242" max="10242" width="16.125" style="281" bestFit="1" customWidth="1"/>
    <col min="10243" max="10243" width="13.875" style="281" bestFit="1" customWidth="1"/>
    <col min="10244" max="10244" width="17.25" style="281" bestFit="1" customWidth="1"/>
    <col min="10245" max="10246" width="20.5" style="281" bestFit="1" customWidth="1"/>
    <col min="10247" max="10247" width="0" style="281" hidden="1" customWidth="1"/>
    <col min="10248" max="10248" width="18.375" style="281" bestFit="1" customWidth="1"/>
    <col min="10249" max="10250" width="0" style="281" hidden="1" customWidth="1"/>
    <col min="10251" max="10494" width="9" style="281"/>
    <col min="10495" max="10495" width="6.625" style="281" customWidth="1"/>
    <col min="10496" max="10497" width="21.625" style="281" customWidth="1"/>
    <col min="10498" max="10498" width="16.125" style="281" bestFit="1" customWidth="1"/>
    <col min="10499" max="10499" width="13.875" style="281" bestFit="1" customWidth="1"/>
    <col min="10500" max="10500" width="17.25" style="281" bestFit="1" customWidth="1"/>
    <col min="10501" max="10502" width="20.5" style="281" bestFit="1" customWidth="1"/>
    <col min="10503" max="10503" width="0" style="281" hidden="1" customWidth="1"/>
    <col min="10504" max="10504" width="18.375" style="281" bestFit="1" customWidth="1"/>
    <col min="10505" max="10506" width="0" style="281" hidden="1" customWidth="1"/>
    <col min="10507" max="10750" width="9" style="281"/>
    <col min="10751" max="10751" width="6.625" style="281" customWidth="1"/>
    <col min="10752" max="10753" width="21.625" style="281" customWidth="1"/>
    <col min="10754" max="10754" width="16.125" style="281" bestFit="1" customWidth="1"/>
    <col min="10755" max="10755" width="13.875" style="281" bestFit="1" customWidth="1"/>
    <col min="10756" max="10756" width="17.25" style="281" bestFit="1" customWidth="1"/>
    <col min="10757" max="10758" width="20.5" style="281" bestFit="1" customWidth="1"/>
    <col min="10759" max="10759" width="0" style="281" hidden="1" customWidth="1"/>
    <col min="10760" max="10760" width="18.375" style="281" bestFit="1" customWidth="1"/>
    <col min="10761" max="10762" width="0" style="281" hidden="1" customWidth="1"/>
    <col min="10763" max="11006" width="9" style="281"/>
    <col min="11007" max="11007" width="6.625" style="281" customWidth="1"/>
    <col min="11008" max="11009" width="21.625" style="281" customWidth="1"/>
    <col min="11010" max="11010" width="16.125" style="281" bestFit="1" customWidth="1"/>
    <col min="11011" max="11011" width="13.875" style="281" bestFit="1" customWidth="1"/>
    <col min="11012" max="11012" width="17.25" style="281" bestFit="1" customWidth="1"/>
    <col min="11013" max="11014" width="20.5" style="281" bestFit="1" customWidth="1"/>
    <col min="11015" max="11015" width="0" style="281" hidden="1" customWidth="1"/>
    <col min="11016" max="11016" width="18.375" style="281" bestFit="1" customWidth="1"/>
    <col min="11017" max="11018" width="0" style="281" hidden="1" customWidth="1"/>
    <col min="11019" max="11262" width="9" style="281"/>
    <col min="11263" max="11263" width="6.625" style="281" customWidth="1"/>
    <col min="11264" max="11265" width="21.625" style="281" customWidth="1"/>
    <col min="11266" max="11266" width="16.125" style="281" bestFit="1" customWidth="1"/>
    <col min="11267" max="11267" width="13.875" style="281" bestFit="1" customWidth="1"/>
    <col min="11268" max="11268" width="17.25" style="281" bestFit="1" customWidth="1"/>
    <col min="11269" max="11270" width="20.5" style="281" bestFit="1" customWidth="1"/>
    <col min="11271" max="11271" width="0" style="281" hidden="1" customWidth="1"/>
    <col min="11272" max="11272" width="18.375" style="281" bestFit="1" customWidth="1"/>
    <col min="11273" max="11274" width="0" style="281" hidden="1" customWidth="1"/>
    <col min="11275" max="11518" width="9" style="281"/>
    <col min="11519" max="11519" width="6.625" style="281" customWidth="1"/>
    <col min="11520" max="11521" width="21.625" style="281" customWidth="1"/>
    <col min="11522" max="11522" width="16.125" style="281" bestFit="1" customWidth="1"/>
    <col min="11523" max="11523" width="13.875" style="281" bestFit="1" customWidth="1"/>
    <col min="11524" max="11524" width="17.25" style="281" bestFit="1" customWidth="1"/>
    <col min="11525" max="11526" width="20.5" style="281" bestFit="1" customWidth="1"/>
    <col min="11527" max="11527" width="0" style="281" hidden="1" customWidth="1"/>
    <col min="11528" max="11528" width="18.375" style="281" bestFit="1" customWidth="1"/>
    <col min="11529" max="11530" width="0" style="281" hidden="1" customWidth="1"/>
    <col min="11531" max="11774" width="9" style="281"/>
    <col min="11775" max="11775" width="6.625" style="281" customWidth="1"/>
    <col min="11776" max="11777" width="21.625" style="281" customWidth="1"/>
    <col min="11778" max="11778" width="16.125" style="281" bestFit="1" customWidth="1"/>
    <col min="11779" max="11779" width="13.875" style="281" bestFit="1" customWidth="1"/>
    <col min="11780" max="11780" width="17.25" style="281" bestFit="1" customWidth="1"/>
    <col min="11781" max="11782" width="20.5" style="281" bestFit="1" customWidth="1"/>
    <col min="11783" max="11783" width="0" style="281" hidden="1" customWidth="1"/>
    <col min="11784" max="11784" width="18.375" style="281" bestFit="1" customWidth="1"/>
    <col min="11785" max="11786" width="0" style="281" hidden="1" customWidth="1"/>
    <col min="11787" max="12030" width="9" style="281"/>
    <col min="12031" max="12031" width="6.625" style="281" customWidth="1"/>
    <col min="12032" max="12033" width="21.625" style="281" customWidth="1"/>
    <col min="12034" max="12034" width="16.125" style="281" bestFit="1" customWidth="1"/>
    <col min="12035" max="12035" width="13.875" style="281" bestFit="1" customWidth="1"/>
    <col min="12036" max="12036" width="17.25" style="281" bestFit="1" customWidth="1"/>
    <col min="12037" max="12038" width="20.5" style="281" bestFit="1" customWidth="1"/>
    <col min="12039" max="12039" width="0" style="281" hidden="1" customWidth="1"/>
    <col min="12040" max="12040" width="18.375" style="281" bestFit="1" customWidth="1"/>
    <col min="12041" max="12042" width="0" style="281" hidden="1" customWidth="1"/>
    <col min="12043" max="12286" width="9" style="281"/>
    <col min="12287" max="12287" width="6.625" style="281" customWidth="1"/>
    <col min="12288" max="12289" width="21.625" style="281" customWidth="1"/>
    <col min="12290" max="12290" width="16.125" style="281" bestFit="1" customWidth="1"/>
    <col min="12291" max="12291" width="13.875" style="281" bestFit="1" customWidth="1"/>
    <col min="12292" max="12292" width="17.25" style="281" bestFit="1" customWidth="1"/>
    <col min="12293" max="12294" width="20.5" style="281" bestFit="1" customWidth="1"/>
    <col min="12295" max="12295" width="0" style="281" hidden="1" customWidth="1"/>
    <col min="12296" max="12296" width="18.375" style="281" bestFit="1" customWidth="1"/>
    <col min="12297" max="12298" width="0" style="281" hidden="1" customWidth="1"/>
    <col min="12299" max="12542" width="9" style="281"/>
    <col min="12543" max="12543" width="6.625" style="281" customWidth="1"/>
    <col min="12544" max="12545" width="21.625" style="281" customWidth="1"/>
    <col min="12546" max="12546" width="16.125" style="281" bestFit="1" customWidth="1"/>
    <col min="12547" max="12547" width="13.875" style="281" bestFit="1" customWidth="1"/>
    <col min="12548" max="12548" width="17.25" style="281" bestFit="1" customWidth="1"/>
    <col min="12549" max="12550" width="20.5" style="281" bestFit="1" customWidth="1"/>
    <col min="12551" max="12551" width="0" style="281" hidden="1" customWidth="1"/>
    <col min="12552" max="12552" width="18.375" style="281" bestFit="1" customWidth="1"/>
    <col min="12553" max="12554" width="0" style="281" hidden="1" customWidth="1"/>
    <col min="12555" max="12798" width="9" style="281"/>
    <col min="12799" max="12799" width="6.625" style="281" customWidth="1"/>
    <col min="12800" max="12801" width="21.625" style="281" customWidth="1"/>
    <col min="12802" max="12802" width="16.125" style="281" bestFit="1" customWidth="1"/>
    <col min="12803" max="12803" width="13.875" style="281" bestFit="1" customWidth="1"/>
    <col min="12804" max="12804" width="17.25" style="281" bestFit="1" customWidth="1"/>
    <col min="12805" max="12806" width="20.5" style="281" bestFit="1" customWidth="1"/>
    <col min="12807" max="12807" width="0" style="281" hidden="1" customWidth="1"/>
    <col min="12808" max="12808" width="18.375" style="281" bestFit="1" customWidth="1"/>
    <col min="12809" max="12810" width="0" style="281" hidden="1" customWidth="1"/>
    <col min="12811" max="13054" width="9" style="281"/>
    <col min="13055" max="13055" width="6.625" style="281" customWidth="1"/>
    <col min="13056" max="13057" width="21.625" style="281" customWidth="1"/>
    <col min="13058" max="13058" width="16.125" style="281" bestFit="1" customWidth="1"/>
    <col min="13059" max="13059" width="13.875" style="281" bestFit="1" customWidth="1"/>
    <col min="13060" max="13060" width="17.25" style="281" bestFit="1" customWidth="1"/>
    <col min="13061" max="13062" width="20.5" style="281" bestFit="1" customWidth="1"/>
    <col min="13063" max="13063" width="0" style="281" hidden="1" customWidth="1"/>
    <col min="13064" max="13064" width="18.375" style="281" bestFit="1" customWidth="1"/>
    <col min="13065" max="13066" width="0" style="281" hidden="1" customWidth="1"/>
    <col min="13067" max="13310" width="9" style="281"/>
    <col min="13311" max="13311" width="6.625" style="281" customWidth="1"/>
    <col min="13312" max="13313" width="21.625" style="281" customWidth="1"/>
    <col min="13314" max="13314" width="16.125" style="281" bestFit="1" customWidth="1"/>
    <col min="13315" max="13315" width="13.875" style="281" bestFit="1" customWidth="1"/>
    <col min="13316" max="13316" width="17.25" style="281" bestFit="1" customWidth="1"/>
    <col min="13317" max="13318" width="20.5" style="281" bestFit="1" customWidth="1"/>
    <col min="13319" max="13319" width="0" style="281" hidden="1" customWidth="1"/>
    <col min="13320" max="13320" width="18.375" style="281" bestFit="1" customWidth="1"/>
    <col min="13321" max="13322" width="0" style="281" hidden="1" customWidth="1"/>
    <col min="13323" max="13566" width="9" style="281"/>
    <col min="13567" max="13567" width="6.625" style="281" customWidth="1"/>
    <col min="13568" max="13569" width="21.625" style="281" customWidth="1"/>
    <col min="13570" max="13570" width="16.125" style="281" bestFit="1" customWidth="1"/>
    <col min="13571" max="13571" width="13.875" style="281" bestFit="1" customWidth="1"/>
    <col min="13572" max="13572" width="17.25" style="281" bestFit="1" customWidth="1"/>
    <col min="13573" max="13574" width="20.5" style="281" bestFit="1" customWidth="1"/>
    <col min="13575" max="13575" width="0" style="281" hidden="1" customWidth="1"/>
    <col min="13576" max="13576" width="18.375" style="281" bestFit="1" customWidth="1"/>
    <col min="13577" max="13578" width="0" style="281" hidden="1" customWidth="1"/>
    <col min="13579" max="13822" width="9" style="281"/>
    <col min="13823" max="13823" width="6.625" style="281" customWidth="1"/>
    <col min="13824" max="13825" width="21.625" style="281" customWidth="1"/>
    <col min="13826" max="13826" width="16.125" style="281" bestFit="1" customWidth="1"/>
    <col min="13827" max="13827" width="13.875" style="281" bestFit="1" customWidth="1"/>
    <col min="13828" max="13828" width="17.25" style="281" bestFit="1" customWidth="1"/>
    <col min="13829" max="13830" width="20.5" style="281" bestFit="1" customWidth="1"/>
    <col min="13831" max="13831" width="0" style="281" hidden="1" customWidth="1"/>
    <col min="13832" max="13832" width="18.375" style="281" bestFit="1" customWidth="1"/>
    <col min="13833" max="13834" width="0" style="281" hidden="1" customWidth="1"/>
    <col min="13835" max="14078" width="9" style="281"/>
    <col min="14079" max="14079" width="6.625" style="281" customWidth="1"/>
    <col min="14080" max="14081" width="21.625" style="281" customWidth="1"/>
    <col min="14082" max="14082" width="16.125" style="281" bestFit="1" customWidth="1"/>
    <col min="14083" max="14083" width="13.875" style="281" bestFit="1" customWidth="1"/>
    <col min="14084" max="14084" width="17.25" style="281" bestFit="1" customWidth="1"/>
    <col min="14085" max="14086" width="20.5" style="281" bestFit="1" customWidth="1"/>
    <col min="14087" max="14087" width="0" style="281" hidden="1" customWidth="1"/>
    <col min="14088" max="14088" width="18.375" style="281" bestFit="1" customWidth="1"/>
    <col min="14089" max="14090" width="0" style="281" hidden="1" customWidth="1"/>
    <col min="14091" max="14334" width="9" style="281"/>
    <col min="14335" max="14335" width="6.625" style="281" customWidth="1"/>
    <col min="14336" max="14337" width="21.625" style="281" customWidth="1"/>
    <col min="14338" max="14338" width="16.125" style="281" bestFit="1" customWidth="1"/>
    <col min="14339" max="14339" width="13.875" style="281" bestFit="1" customWidth="1"/>
    <col min="14340" max="14340" width="17.25" style="281" bestFit="1" customWidth="1"/>
    <col min="14341" max="14342" width="20.5" style="281" bestFit="1" customWidth="1"/>
    <col min="14343" max="14343" width="0" style="281" hidden="1" customWidth="1"/>
    <col min="14344" max="14344" width="18.375" style="281" bestFit="1" customWidth="1"/>
    <col min="14345" max="14346" width="0" style="281" hidden="1" customWidth="1"/>
    <col min="14347" max="14590" width="9" style="281"/>
    <col min="14591" max="14591" width="6.625" style="281" customWidth="1"/>
    <col min="14592" max="14593" width="21.625" style="281" customWidth="1"/>
    <col min="14594" max="14594" width="16.125" style="281" bestFit="1" customWidth="1"/>
    <col min="14595" max="14595" width="13.875" style="281" bestFit="1" customWidth="1"/>
    <col min="14596" max="14596" width="17.25" style="281" bestFit="1" customWidth="1"/>
    <col min="14597" max="14598" width="20.5" style="281" bestFit="1" customWidth="1"/>
    <col min="14599" max="14599" width="0" style="281" hidden="1" customWidth="1"/>
    <col min="14600" max="14600" width="18.375" style="281" bestFit="1" customWidth="1"/>
    <col min="14601" max="14602" width="0" style="281" hidden="1" customWidth="1"/>
    <col min="14603" max="14846" width="9" style="281"/>
    <col min="14847" max="14847" width="6.625" style="281" customWidth="1"/>
    <col min="14848" max="14849" width="21.625" style="281" customWidth="1"/>
    <col min="14850" max="14850" width="16.125" style="281" bestFit="1" customWidth="1"/>
    <col min="14851" max="14851" width="13.875" style="281" bestFit="1" customWidth="1"/>
    <col min="14852" max="14852" width="17.25" style="281" bestFit="1" customWidth="1"/>
    <col min="14853" max="14854" width="20.5" style="281" bestFit="1" customWidth="1"/>
    <col min="14855" max="14855" width="0" style="281" hidden="1" customWidth="1"/>
    <col min="14856" max="14856" width="18.375" style="281" bestFit="1" customWidth="1"/>
    <col min="14857" max="14858" width="0" style="281" hidden="1" customWidth="1"/>
    <col min="14859" max="15102" width="9" style="281"/>
    <col min="15103" max="15103" width="6.625" style="281" customWidth="1"/>
    <col min="15104" max="15105" width="21.625" style="281" customWidth="1"/>
    <col min="15106" max="15106" width="16.125" style="281" bestFit="1" customWidth="1"/>
    <col min="15107" max="15107" width="13.875" style="281" bestFit="1" customWidth="1"/>
    <col min="15108" max="15108" width="17.25" style="281" bestFit="1" customWidth="1"/>
    <col min="15109" max="15110" width="20.5" style="281" bestFit="1" customWidth="1"/>
    <col min="15111" max="15111" width="0" style="281" hidden="1" customWidth="1"/>
    <col min="15112" max="15112" width="18.375" style="281" bestFit="1" customWidth="1"/>
    <col min="15113" max="15114" width="0" style="281" hidden="1" customWidth="1"/>
    <col min="15115" max="15358" width="9" style="281"/>
    <col min="15359" max="15359" width="6.625" style="281" customWidth="1"/>
    <col min="15360" max="15361" width="21.625" style="281" customWidth="1"/>
    <col min="15362" max="15362" width="16.125" style="281" bestFit="1" customWidth="1"/>
    <col min="15363" max="15363" width="13.875" style="281" bestFit="1" customWidth="1"/>
    <col min="15364" max="15364" width="17.25" style="281" bestFit="1" customWidth="1"/>
    <col min="15365" max="15366" width="20.5" style="281" bestFit="1" customWidth="1"/>
    <col min="15367" max="15367" width="0" style="281" hidden="1" customWidth="1"/>
    <col min="15368" max="15368" width="18.375" style="281" bestFit="1" customWidth="1"/>
    <col min="15369" max="15370" width="0" style="281" hidden="1" customWidth="1"/>
    <col min="15371" max="15614" width="9" style="281"/>
    <col min="15615" max="15615" width="6.625" style="281" customWidth="1"/>
    <col min="15616" max="15617" width="21.625" style="281" customWidth="1"/>
    <col min="15618" max="15618" width="16.125" style="281" bestFit="1" customWidth="1"/>
    <col min="15619" max="15619" width="13.875" style="281" bestFit="1" customWidth="1"/>
    <col min="15620" max="15620" width="17.25" style="281" bestFit="1" customWidth="1"/>
    <col min="15621" max="15622" width="20.5" style="281" bestFit="1" customWidth="1"/>
    <col min="15623" max="15623" width="0" style="281" hidden="1" customWidth="1"/>
    <col min="15624" max="15624" width="18.375" style="281" bestFit="1" customWidth="1"/>
    <col min="15625" max="15626" width="0" style="281" hidden="1" customWidth="1"/>
    <col min="15627" max="15870" width="9" style="281"/>
    <col min="15871" max="15871" width="6.625" style="281" customWidth="1"/>
    <col min="15872" max="15873" width="21.625" style="281" customWidth="1"/>
    <col min="15874" max="15874" width="16.125" style="281" bestFit="1" customWidth="1"/>
    <col min="15875" max="15875" width="13.875" style="281" bestFit="1" customWidth="1"/>
    <col min="15876" max="15876" width="17.25" style="281" bestFit="1" customWidth="1"/>
    <col min="15877" max="15878" width="20.5" style="281" bestFit="1" customWidth="1"/>
    <col min="15879" max="15879" width="0" style="281" hidden="1" customWidth="1"/>
    <col min="15880" max="15880" width="18.375" style="281" bestFit="1" customWidth="1"/>
    <col min="15881" max="15882" width="0" style="281" hidden="1" customWidth="1"/>
    <col min="15883" max="16126" width="9" style="281"/>
    <col min="16127" max="16127" width="6.625" style="281" customWidth="1"/>
    <col min="16128" max="16129" width="21.625" style="281" customWidth="1"/>
    <col min="16130" max="16130" width="16.125" style="281" bestFit="1" customWidth="1"/>
    <col min="16131" max="16131" width="13.875" style="281" bestFit="1" customWidth="1"/>
    <col min="16132" max="16132" width="17.25" style="281" bestFit="1" customWidth="1"/>
    <col min="16133" max="16134" width="20.5" style="281" bestFit="1" customWidth="1"/>
    <col min="16135" max="16135" width="0" style="281" hidden="1" customWidth="1"/>
    <col min="16136" max="16136" width="18.375" style="281" bestFit="1" customWidth="1"/>
    <col min="16137" max="16138" width="0" style="281" hidden="1" customWidth="1"/>
    <col min="16139" max="16384" width="9" style="281"/>
  </cols>
  <sheetData>
    <row r="1" spans="1:5" ht="20.25">
      <c r="A1" s="864" t="s">
        <v>2522</v>
      </c>
      <c r="B1" s="865"/>
      <c r="C1" s="865"/>
      <c r="D1" s="865"/>
      <c r="E1" s="865"/>
    </row>
    <row r="2" spans="1:5" ht="35.1" customHeight="1">
      <c r="A2" s="866" t="s">
        <v>2539</v>
      </c>
      <c r="B2" s="867"/>
      <c r="E2" s="857" t="s">
        <v>2523</v>
      </c>
    </row>
    <row r="3" spans="1:5" ht="30" customHeight="1">
      <c r="A3" s="858" t="s">
        <v>1329</v>
      </c>
      <c r="B3" s="858" t="s">
        <v>2524</v>
      </c>
      <c r="C3" s="859" t="s">
        <v>2525</v>
      </c>
      <c r="D3" s="859" t="s">
        <v>2526</v>
      </c>
      <c r="E3" s="859" t="s">
        <v>2527</v>
      </c>
    </row>
    <row r="4" spans="1:5" ht="30" customHeight="1">
      <c r="A4" s="858">
        <v>1</v>
      </c>
      <c r="B4" s="858" t="s">
        <v>2528</v>
      </c>
      <c r="C4" s="860">
        <f>浦江基本支出调整!Z4</f>
        <v>28638871.24000001</v>
      </c>
      <c r="D4" s="860"/>
      <c r="E4" s="861">
        <f t="shared" ref="E4:E17" si="0">C4-D4</f>
        <v>28638871.24000001</v>
      </c>
    </row>
    <row r="5" spans="1:5" ht="30" customHeight="1">
      <c r="A5" s="858">
        <v>2</v>
      </c>
      <c r="B5" s="858" t="s">
        <v>2529</v>
      </c>
      <c r="C5" s="860">
        <f>浦江基本支出调整!Z42</f>
        <v>5146733.0500000194</v>
      </c>
      <c r="D5" s="860"/>
      <c r="E5" s="861">
        <f t="shared" si="0"/>
        <v>5146733.0500000194</v>
      </c>
    </row>
    <row r="6" spans="1:5" ht="30" customHeight="1">
      <c r="A6" s="858">
        <v>3</v>
      </c>
      <c r="B6" s="858" t="s">
        <v>2530</v>
      </c>
      <c r="C6" s="860">
        <f>浦江基本支出调整!Z31</f>
        <v>7297495</v>
      </c>
      <c r="D6" s="860"/>
      <c r="E6" s="861">
        <f t="shared" si="0"/>
        <v>7297495</v>
      </c>
    </row>
    <row r="7" spans="1:5" ht="30" customHeight="1">
      <c r="A7" s="858">
        <v>4</v>
      </c>
      <c r="B7" s="858" t="s">
        <v>2531</v>
      </c>
      <c r="C7" s="860">
        <v>48534</v>
      </c>
      <c r="D7" s="860"/>
      <c r="E7" s="861">
        <f t="shared" si="0"/>
        <v>48534</v>
      </c>
    </row>
    <row r="8" spans="1:5" ht="30" customHeight="1">
      <c r="A8" s="858">
        <v>5</v>
      </c>
      <c r="B8" s="858" t="s">
        <v>2532</v>
      </c>
      <c r="C8" s="860">
        <f>残疾就业保障调整!E22</f>
        <v>-518510.74999999994</v>
      </c>
      <c r="D8" s="860"/>
      <c r="E8" s="861">
        <f t="shared" si="0"/>
        <v>-518510.74999999994</v>
      </c>
    </row>
    <row r="9" spans="1:5" ht="30" customHeight="1">
      <c r="A9" s="858">
        <v>6</v>
      </c>
      <c r="B9" s="858" t="s">
        <v>2533</v>
      </c>
      <c r="C9" s="860">
        <f>补充公用经费调整!AV22</f>
        <v>13265431.28264368</v>
      </c>
      <c r="D9" s="860"/>
      <c r="E9" s="861">
        <f t="shared" si="0"/>
        <v>13265431.28264368</v>
      </c>
    </row>
    <row r="10" spans="1:5" ht="30" customHeight="1">
      <c r="A10" s="858">
        <v>7</v>
      </c>
      <c r="B10" s="858" t="s">
        <v>2534</v>
      </c>
      <c r="C10" s="860">
        <f>追加设备!I52</f>
        <v>4467800</v>
      </c>
      <c r="D10" s="860"/>
      <c r="E10" s="861">
        <f t="shared" si="0"/>
        <v>4467800</v>
      </c>
    </row>
    <row r="11" spans="1:5" ht="30" customHeight="1">
      <c r="A11" s="858">
        <v>8</v>
      </c>
      <c r="B11" s="858" t="s">
        <v>1722</v>
      </c>
      <c r="C11" s="860">
        <f>'2023尾款清算'!J4</f>
        <v>330284</v>
      </c>
      <c r="D11" s="860"/>
      <c r="E11" s="861">
        <f t="shared" si="0"/>
        <v>330284</v>
      </c>
    </row>
    <row r="12" spans="1:5" ht="30" customHeight="1">
      <c r="A12" s="858">
        <v>9</v>
      </c>
      <c r="B12" s="858" t="s">
        <v>2535</v>
      </c>
      <c r="C12" s="860">
        <f>普教二科追加!H8</f>
        <v>2500000</v>
      </c>
      <c r="D12" s="860"/>
      <c r="E12" s="861">
        <f t="shared" si="0"/>
        <v>2500000</v>
      </c>
    </row>
    <row r="13" spans="1:5" ht="30" customHeight="1">
      <c r="A13" s="858">
        <v>10</v>
      </c>
      <c r="B13" s="858" t="s">
        <v>2536</v>
      </c>
      <c r="C13" s="860">
        <f>普教一科追加!H8</f>
        <v>1000000</v>
      </c>
      <c r="D13" s="860"/>
      <c r="E13" s="861">
        <f t="shared" si="0"/>
        <v>1000000</v>
      </c>
    </row>
    <row r="14" spans="1:5" ht="30" customHeight="1">
      <c r="A14" s="858">
        <v>11</v>
      </c>
      <c r="B14" s="858" t="s">
        <v>2537</v>
      </c>
      <c r="C14" s="860">
        <f>抚恤金调整!E10</f>
        <v>837350</v>
      </c>
      <c r="D14" s="860"/>
      <c r="E14" s="861">
        <f t="shared" si="0"/>
        <v>837350</v>
      </c>
    </row>
    <row r="15" spans="1:5" ht="30" customHeight="1">
      <c r="A15" s="858">
        <v>12</v>
      </c>
      <c r="B15" s="858" t="s">
        <v>2538</v>
      </c>
      <c r="C15" s="860">
        <f>储备教师!H35</f>
        <v>3226452</v>
      </c>
      <c r="D15" s="860">
        <f>C15</f>
        <v>3226452</v>
      </c>
      <c r="E15" s="861">
        <f t="shared" si="0"/>
        <v>0</v>
      </c>
    </row>
    <row r="16" spans="1:5" ht="30" customHeight="1">
      <c r="A16" s="858">
        <v>13</v>
      </c>
      <c r="B16" s="858" t="s">
        <v>2540</v>
      </c>
      <c r="C16" s="860">
        <f>保安经费调整!N35</f>
        <v>4286250</v>
      </c>
      <c r="D16" s="860">
        <f>C16</f>
        <v>4286250</v>
      </c>
      <c r="E16" s="861">
        <f t="shared" si="0"/>
        <v>0</v>
      </c>
    </row>
    <row r="17" spans="1:5" ht="30" customHeight="1">
      <c r="A17" s="858">
        <v>14</v>
      </c>
      <c r="B17" s="858" t="s">
        <v>2541</v>
      </c>
      <c r="C17" s="860">
        <f>'未开办学校物业管理（区级代管）'!O11</f>
        <v>472606.75</v>
      </c>
      <c r="D17" s="860">
        <f>C17</f>
        <v>472606.75</v>
      </c>
      <c r="E17" s="861">
        <f t="shared" si="0"/>
        <v>0</v>
      </c>
    </row>
    <row r="18" spans="1:5" ht="30" customHeight="1">
      <c r="A18" s="858"/>
      <c r="B18" s="858" t="s">
        <v>2286</v>
      </c>
      <c r="C18" s="862">
        <f>SUM(C4:C17)</f>
        <v>70999296.572643712</v>
      </c>
      <c r="D18" s="862">
        <f t="shared" ref="D18:E18" si="1">SUM(D4:D17)</f>
        <v>7985308.75</v>
      </c>
      <c r="E18" s="862">
        <f t="shared" si="1"/>
        <v>63013987.822643712</v>
      </c>
    </row>
    <row r="19" spans="1:5" ht="30" customHeight="1"/>
    <row r="20" spans="1:5" ht="30" customHeight="1"/>
  </sheetData>
  <mergeCells count="2">
    <mergeCell ref="A1:E1"/>
    <mergeCell ref="A2:B2"/>
  </mergeCells>
  <phoneticPr fontId="3" type="noConversion"/>
  <pageMargins left="0.7" right="0.7" top="0.75" bottom="0.75" header="0.3" footer="0.3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868" t="s">
        <v>532</v>
      </c>
      <c r="B1" s="869"/>
      <c r="C1" s="869"/>
      <c r="D1" s="869"/>
      <c r="E1" s="870"/>
      <c r="F1" s="870"/>
      <c r="G1" s="870"/>
      <c r="H1" s="870"/>
      <c r="I1" s="870"/>
      <c r="J1" s="870"/>
      <c r="K1" s="870"/>
      <c r="L1" s="870"/>
      <c r="M1" s="870"/>
      <c r="N1" s="870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873" t="s">
        <v>664</v>
      </c>
      <c r="B1" s="874"/>
      <c r="C1" s="874"/>
      <c r="D1" s="874"/>
      <c r="E1" s="874"/>
      <c r="F1" s="874"/>
      <c r="G1" s="874"/>
      <c r="H1" s="874"/>
      <c r="I1" s="874"/>
      <c r="J1" s="874"/>
      <c r="K1" s="874"/>
      <c r="L1" s="874"/>
      <c r="M1" s="874"/>
      <c r="N1" s="874"/>
      <c r="O1" s="874"/>
      <c r="P1" s="874"/>
      <c r="Q1" s="874"/>
    </row>
    <row r="2" spans="1:17" s="155" customFormat="1">
      <c r="A2" s="875" t="s">
        <v>594</v>
      </c>
      <c r="B2" s="877" t="s">
        <v>635</v>
      </c>
      <c r="C2" s="877" t="s">
        <v>1</v>
      </c>
      <c r="D2" s="878" t="s">
        <v>636</v>
      </c>
      <c r="E2" s="879" t="s">
        <v>637</v>
      </c>
      <c r="F2" s="871" t="s">
        <v>653</v>
      </c>
      <c r="G2" s="872"/>
      <c r="H2" s="872"/>
      <c r="I2" s="872"/>
      <c r="J2" s="871" t="s">
        <v>652</v>
      </c>
      <c r="K2" s="872"/>
      <c r="L2" s="872"/>
      <c r="M2" s="872"/>
      <c r="N2" s="871" t="s">
        <v>666</v>
      </c>
      <c r="O2" s="872"/>
      <c r="P2" s="872"/>
      <c r="Q2" s="872"/>
    </row>
    <row r="3" spans="1:17" ht="22.5">
      <c r="A3" s="876"/>
      <c r="B3" s="876"/>
      <c r="C3" s="876"/>
      <c r="D3" s="876"/>
      <c r="E3" s="876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880" t="s">
        <v>0</v>
      </c>
      <c r="B1" s="881"/>
      <c r="C1" s="881"/>
      <c r="D1" s="881"/>
      <c r="E1" s="881"/>
      <c r="F1" s="881"/>
      <c r="G1" s="881"/>
      <c r="H1" s="881"/>
      <c r="I1" s="881"/>
      <c r="J1" s="881"/>
      <c r="K1" s="881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882" t="s">
        <v>0</v>
      </c>
      <c r="B1" s="883"/>
      <c r="C1" s="883"/>
      <c r="D1" s="883"/>
      <c r="E1" s="883"/>
      <c r="F1" s="883"/>
      <c r="G1" s="883"/>
      <c r="H1" s="883"/>
      <c r="I1" s="883"/>
      <c r="J1" s="883"/>
      <c r="K1" s="883"/>
      <c r="L1" s="883"/>
      <c r="M1" s="883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880" t="s">
        <v>264</v>
      </c>
      <c r="B1" s="881"/>
      <c r="C1" s="881"/>
      <c r="D1" s="881"/>
      <c r="E1" s="881"/>
      <c r="F1" s="881"/>
      <c r="G1" s="881"/>
      <c r="H1" s="881"/>
      <c r="I1" s="881"/>
      <c r="J1" s="881"/>
      <c r="K1" s="881"/>
      <c r="L1" s="881"/>
      <c r="M1" s="881"/>
      <c r="N1" s="881"/>
      <c r="O1" s="881"/>
      <c r="P1" s="881"/>
      <c r="Q1" s="881"/>
      <c r="R1" s="881"/>
      <c r="S1" s="881"/>
      <c r="T1" s="881"/>
      <c r="U1" s="881"/>
      <c r="V1" s="881"/>
      <c r="W1" s="881"/>
      <c r="X1" s="881"/>
      <c r="Y1" s="881"/>
      <c r="Z1" s="881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884" t="s">
        <v>669</v>
      </c>
      <c r="B1" s="884"/>
      <c r="C1" s="884"/>
      <c r="D1" s="884"/>
      <c r="E1" s="884"/>
      <c r="F1" s="884"/>
      <c r="G1" s="884"/>
      <c r="H1" s="884"/>
      <c r="I1" s="884"/>
      <c r="J1" s="884"/>
      <c r="K1" s="884"/>
      <c r="L1" s="884"/>
      <c r="M1" s="884"/>
      <c r="N1" s="884"/>
      <c r="O1" s="884"/>
      <c r="P1" s="884"/>
      <c r="Q1" s="884"/>
      <c r="R1" s="884"/>
      <c r="S1" s="884"/>
      <c r="T1" s="884"/>
      <c r="U1" s="884"/>
      <c r="V1" s="884"/>
      <c r="W1" s="884"/>
      <c r="X1" s="884"/>
      <c r="Y1" s="884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880" t="s">
        <v>0</v>
      </c>
      <c r="B1" s="881"/>
      <c r="C1" s="881"/>
      <c r="D1" s="881"/>
      <c r="E1" s="881"/>
      <c r="F1" s="881"/>
      <c r="G1" s="881"/>
      <c r="H1" s="881"/>
      <c r="I1" s="881"/>
      <c r="J1" s="881"/>
      <c r="K1" s="881"/>
      <c r="L1" s="881"/>
      <c r="M1" s="881"/>
      <c r="N1" s="881"/>
      <c r="O1" s="881"/>
      <c r="P1" s="881"/>
      <c r="Q1" s="881"/>
      <c r="R1" s="881"/>
      <c r="S1" s="881"/>
      <c r="T1" s="881"/>
      <c r="U1" s="881"/>
      <c r="V1" s="881"/>
      <c r="W1" s="881"/>
      <c r="X1" s="881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880" t="s">
        <v>0</v>
      </c>
      <c r="B1" s="881"/>
      <c r="C1" s="881"/>
      <c r="D1" s="881"/>
      <c r="E1" s="881"/>
      <c r="F1" s="881"/>
      <c r="G1" s="881"/>
      <c r="H1" s="881"/>
      <c r="I1" s="881"/>
      <c r="J1" s="881"/>
      <c r="K1" s="881"/>
      <c r="L1" s="881"/>
      <c r="M1" s="881"/>
      <c r="N1" s="881"/>
      <c r="O1" s="881"/>
      <c r="P1" s="881"/>
      <c r="Q1" s="881"/>
      <c r="R1" s="881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880" t="s">
        <v>0</v>
      </c>
      <c r="B1" s="881"/>
      <c r="C1" s="881"/>
      <c r="D1" s="881"/>
      <c r="E1" s="881"/>
      <c r="F1" s="881"/>
      <c r="G1" s="881"/>
      <c r="H1" s="881"/>
      <c r="I1" s="881"/>
      <c r="J1" s="881"/>
      <c r="K1" s="881"/>
      <c r="L1" s="881"/>
      <c r="M1" s="881"/>
      <c r="N1" s="881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885" t="s">
        <v>335</v>
      </c>
      <c r="B1" s="886"/>
      <c r="C1" s="886"/>
      <c r="D1" s="886"/>
      <c r="E1" s="886"/>
      <c r="F1" s="886"/>
      <c r="G1" s="886"/>
      <c r="H1" s="886"/>
      <c r="I1" s="886"/>
      <c r="J1" s="886"/>
      <c r="K1" s="886"/>
      <c r="L1" s="886"/>
      <c r="M1" s="886"/>
      <c r="N1" s="886"/>
      <c r="O1" s="886"/>
      <c r="P1" s="886"/>
      <c r="Q1" s="886"/>
      <c r="R1" s="886"/>
      <c r="S1" s="886"/>
      <c r="T1" s="886"/>
      <c r="U1" s="886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882" t="s">
        <v>265</v>
      </c>
      <c r="B1" s="883"/>
      <c r="C1" s="883"/>
      <c r="D1" s="883"/>
      <c r="E1" s="883"/>
      <c r="F1" s="883"/>
      <c r="G1" s="883"/>
      <c r="H1" s="883"/>
      <c r="I1" s="883"/>
      <c r="J1" s="883"/>
      <c r="K1" s="883"/>
      <c r="L1" s="883"/>
      <c r="M1" s="883"/>
      <c r="N1" s="883"/>
      <c r="O1" s="883"/>
      <c r="P1" s="883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887" t="s">
        <v>488</v>
      </c>
      <c r="B1" s="887"/>
      <c r="C1" s="887"/>
      <c r="D1" s="887"/>
      <c r="E1" s="887"/>
      <c r="F1" s="887"/>
      <c r="G1" s="887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890" t="s">
        <v>544</v>
      </c>
      <c r="B1" s="891"/>
      <c r="C1" s="891"/>
      <c r="D1" s="891"/>
      <c r="E1" s="891"/>
      <c r="F1" s="891"/>
      <c r="G1" s="891"/>
      <c r="H1" s="891"/>
      <c r="I1" s="891"/>
    </row>
    <row r="2" spans="1:9" ht="22.5">
      <c r="A2" s="147" t="s">
        <v>621</v>
      </c>
      <c r="B2" s="889" t="s">
        <v>622</v>
      </c>
      <c r="C2" s="889"/>
      <c r="D2" s="889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888" t="s">
        <v>634</v>
      </c>
      <c r="C3" s="888"/>
      <c r="D3" s="888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888" t="s">
        <v>629</v>
      </c>
      <c r="C4" s="888"/>
      <c r="D4" s="888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888" t="s">
        <v>630</v>
      </c>
      <c r="C5" s="888"/>
      <c r="D5" s="888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888" t="s">
        <v>632</v>
      </c>
      <c r="C6" s="888"/>
      <c r="D6" s="888"/>
      <c r="E6" s="152"/>
      <c r="F6" s="152"/>
      <c r="G6" s="152"/>
      <c r="H6" s="154"/>
      <c r="I6" s="154">
        <f>I5</f>
        <v>476250</v>
      </c>
    </row>
    <row r="7" spans="1:9">
      <c r="A7" s="152"/>
      <c r="B7" s="888" t="s">
        <v>633</v>
      </c>
      <c r="C7" s="888"/>
      <c r="D7" s="888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892" t="s">
        <v>620</v>
      </c>
      <c r="B1" s="892"/>
      <c r="C1" s="892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894"/>
      <c r="B1" s="895"/>
      <c r="C1" s="895"/>
      <c r="D1" s="895"/>
      <c r="E1" s="895"/>
      <c r="F1" s="895"/>
      <c r="G1" s="895"/>
      <c r="H1" s="895"/>
      <c r="I1" s="895"/>
      <c r="J1" s="895"/>
      <c r="K1" s="895"/>
      <c r="L1" s="895"/>
      <c r="M1" s="895"/>
      <c r="N1" s="895"/>
      <c r="O1" s="895"/>
      <c r="P1" s="895"/>
      <c r="Q1" s="895"/>
      <c r="R1" s="895"/>
      <c r="S1" s="895"/>
      <c r="T1" s="895"/>
      <c r="U1" s="895"/>
      <c r="V1" s="895"/>
      <c r="W1" s="895"/>
      <c r="X1" s="895"/>
      <c r="Y1" s="895"/>
      <c r="Z1" s="895"/>
      <c r="AA1" s="895"/>
    </row>
    <row r="2" spans="1:28" ht="39.950000000000003" customHeight="1">
      <c r="A2" s="896" t="s">
        <v>594</v>
      </c>
      <c r="B2" s="893" t="s">
        <v>595</v>
      </c>
      <c r="C2" s="893" t="s">
        <v>596</v>
      </c>
      <c r="D2" s="893" t="s">
        <v>597</v>
      </c>
      <c r="E2" s="893"/>
      <c r="F2" s="893"/>
      <c r="G2" s="893"/>
      <c r="H2" s="893"/>
      <c r="I2" s="898" t="s">
        <v>598</v>
      </c>
      <c r="J2" s="898"/>
      <c r="K2" s="898"/>
      <c r="L2" s="898"/>
      <c r="M2" s="898"/>
      <c r="N2" s="898" t="s">
        <v>599</v>
      </c>
      <c r="O2" s="898"/>
      <c r="P2" s="898"/>
      <c r="Q2" s="898"/>
      <c r="R2" s="898"/>
      <c r="S2" s="893" t="s">
        <v>615</v>
      </c>
      <c r="T2" s="893"/>
      <c r="U2" s="893"/>
      <c r="V2" s="893"/>
      <c r="W2" s="893"/>
      <c r="X2" s="893"/>
      <c r="Y2" s="893"/>
      <c r="Z2" s="893"/>
      <c r="AA2" s="893"/>
    </row>
    <row r="3" spans="1:28" ht="39.950000000000003" customHeight="1">
      <c r="A3" s="897"/>
      <c r="B3" s="893"/>
      <c r="C3" s="893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899" t="s">
        <v>1071</v>
      </c>
      <c r="B1" s="899"/>
      <c r="C1" s="899"/>
      <c r="D1" s="899"/>
      <c r="E1" s="899"/>
      <c r="F1" s="899"/>
      <c r="G1" s="899"/>
      <c r="H1" s="899"/>
      <c r="I1" s="899"/>
      <c r="J1" s="899"/>
      <c r="K1" s="899"/>
      <c r="L1" s="899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900" t="s">
        <v>1209</v>
      </c>
      <c r="B1" s="900"/>
      <c r="C1" s="900"/>
      <c r="D1" s="900"/>
      <c r="E1" s="900"/>
      <c r="F1" s="900"/>
      <c r="G1" s="900"/>
      <c r="H1" s="900"/>
      <c r="I1" s="900"/>
    </row>
    <row r="2" spans="1:9" s="327" customFormat="1">
      <c r="A2" s="901" t="s">
        <v>1210</v>
      </c>
      <c r="B2" s="901" t="s">
        <v>1211</v>
      </c>
      <c r="C2" s="901" t="s">
        <v>1212</v>
      </c>
      <c r="D2" s="901" t="s">
        <v>1213</v>
      </c>
      <c r="E2" s="901" t="s">
        <v>1214</v>
      </c>
      <c r="F2" s="902" t="s">
        <v>1215</v>
      </c>
      <c r="G2" s="901" t="s">
        <v>1216</v>
      </c>
      <c r="H2" s="902" t="s">
        <v>1217</v>
      </c>
      <c r="I2" s="903" t="s">
        <v>1218</v>
      </c>
    </row>
    <row r="3" spans="1:9" s="327" customFormat="1">
      <c r="A3" s="901"/>
      <c r="B3" s="901"/>
      <c r="C3" s="901"/>
      <c r="D3" s="901"/>
      <c r="E3" s="901"/>
      <c r="F3" s="902"/>
      <c r="G3" s="901"/>
      <c r="H3" s="902"/>
      <c r="I3" s="903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920" t="s">
        <v>1361</v>
      </c>
      <c r="B1" s="920"/>
      <c r="C1" s="920"/>
      <c r="D1" s="920"/>
      <c r="E1" s="920"/>
      <c r="F1" s="920"/>
      <c r="G1" s="920"/>
      <c r="H1" s="920"/>
      <c r="I1" s="920"/>
      <c r="J1" s="921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904">
        <v>1</v>
      </c>
      <c r="B3" s="909" t="s">
        <v>1368</v>
      </c>
      <c r="C3" s="909" t="s">
        <v>1369</v>
      </c>
      <c r="D3" s="909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918">
        <f>ROUND(I50*0.8,0)</f>
        <v>1831887</v>
      </c>
    </row>
    <row r="4" spans="1:10" ht="18" customHeight="1">
      <c r="A4" s="904"/>
      <c r="B4" s="909"/>
      <c r="C4" s="909"/>
      <c r="D4" s="909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919"/>
    </row>
    <row r="5" spans="1:10" ht="18" customHeight="1">
      <c r="A5" s="904"/>
      <c r="B5" s="909"/>
      <c r="C5" s="909"/>
      <c r="D5" s="909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919"/>
    </row>
    <row r="6" spans="1:10" ht="18" customHeight="1">
      <c r="A6" s="904"/>
      <c r="B6" s="909"/>
      <c r="C6" s="909"/>
      <c r="D6" s="909"/>
      <c r="E6" s="911" t="s">
        <v>1375</v>
      </c>
      <c r="F6" s="904" t="s">
        <v>1376</v>
      </c>
      <c r="G6" s="379">
        <v>12</v>
      </c>
      <c r="H6" s="379">
        <v>280</v>
      </c>
      <c r="I6" s="905">
        <f>SUMPRODUCT(G6:G11,H6:H11)</f>
        <v>43420</v>
      </c>
      <c r="J6" s="919"/>
    </row>
    <row r="7" spans="1:10" ht="18" customHeight="1">
      <c r="A7" s="904"/>
      <c r="B7" s="909"/>
      <c r="C7" s="909"/>
      <c r="D7" s="909"/>
      <c r="E7" s="911"/>
      <c r="F7" s="904"/>
      <c r="G7" s="379">
        <v>16</v>
      </c>
      <c r="H7" s="379">
        <v>360</v>
      </c>
      <c r="I7" s="905"/>
      <c r="J7" s="919"/>
    </row>
    <row r="8" spans="1:10" ht="18" customHeight="1">
      <c r="A8" s="904"/>
      <c r="B8" s="909"/>
      <c r="C8" s="909"/>
      <c r="D8" s="909"/>
      <c r="E8" s="911"/>
      <c r="F8" s="904"/>
      <c r="G8" s="379">
        <v>26</v>
      </c>
      <c r="H8" s="379">
        <v>150</v>
      </c>
      <c r="I8" s="905"/>
      <c r="J8" s="919"/>
    </row>
    <row r="9" spans="1:10" ht="18" customHeight="1">
      <c r="A9" s="904"/>
      <c r="B9" s="909"/>
      <c r="C9" s="909"/>
      <c r="D9" s="909"/>
      <c r="E9" s="911"/>
      <c r="F9" s="904"/>
      <c r="G9" s="379">
        <v>90</v>
      </c>
      <c r="H9" s="379">
        <v>160</v>
      </c>
      <c r="I9" s="905"/>
      <c r="J9" s="919"/>
    </row>
    <row r="10" spans="1:10" ht="18" customHeight="1">
      <c r="A10" s="904"/>
      <c r="B10" s="909"/>
      <c r="C10" s="909"/>
      <c r="D10" s="909"/>
      <c r="E10" s="911"/>
      <c r="F10" s="904"/>
      <c r="G10" s="379">
        <v>90</v>
      </c>
      <c r="H10" s="379">
        <v>130</v>
      </c>
      <c r="I10" s="905"/>
      <c r="J10" s="919"/>
    </row>
    <row r="11" spans="1:10" ht="18" customHeight="1">
      <c r="A11" s="904"/>
      <c r="B11" s="909"/>
      <c r="C11" s="909"/>
      <c r="D11" s="909"/>
      <c r="E11" s="911"/>
      <c r="F11" s="904"/>
      <c r="G11" s="379">
        <v>86</v>
      </c>
      <c r="H11" s="379">
        <v>50</v>
      </c>
      <c r="I11" s="905"/>
      <c r="J11" s="919"/>
    </row>
    <row r="12" spans="1:10" ht="18" customHeight="1">
      <c r="A12" s="904"/>
      <c r="B12" s="909"/>
      <c r="C12" s="909"/>
      <c r="D12" s="909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919"/>
    </row>
    <row r="13" spans="1:10" ht="18" customHeight="1">
      <c r="A13" s="904"/>
      <c r="B13" s="909"/>
      <c r="C13" s="909"/>
      <c r="D13" s="906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919"/>
    </row>
    <row r="14" spans="1:10" ht="18" customHeight="1">
      <c r="A14" s="904"/>
      <c r="B14" s="909"/>
      <c r="C14" s="909"/>
      <c r="D14" s="906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919"/>
    </row>
    <row r="15" spans="1:10" ht="18" customHeight="1">
      <c r="A15" s="904"/>
      <c r="B15" s="909"/>
      <c r="C15" s="909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919"/>
    </row>
    <row r="16" spans="1:10" ht="18" customHeight="1">
      <c r="A16" s="904"/>
      <c r="B16" s="909"/>
      <c r="C16" s="909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919"/>
    </row>
    <row r="17" spans="1:66" ht="18" customHeight="1">
      <c r="A17" s="904"/>
      <c r="B17" s="909"/>
      <c r="C17" s="909"/>
      <c r="D17" s="907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919"/>
    </row>
    <row r="18" spans="1:66" ht="18" customHeight="1">
      <c r="A18" s="904"/>
      <c r="B18" s="909"/>
      <c r="C18" s="909"/>
      <c r="D18" s="907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919"/>
    </row>
    <row r="19" spans="1:66" ht="18" customHeight="1">
      <c r="A19" s="904"/>
      <c r="B19" s="909"/>
      <c r="C19" s="909"/>
      <c r="D19" s="907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919"/>
    </row>
    <row r="20" spans="1:66" ht="18" customHeight="1">
      <c r="A20" s="904"/>
      <c r="B20" s="909"/>
      <c r="C20" s="909"/>
      <c r="D20" s="907" t="s">
        <v>1391</v>
      </c>
      <c r="E20" s="377" t="s">
        <v>1392</v>
      </c>
      <c r="F20" s="383" t="s">
        <v>1376</v>
      </c>
      <c r="G20" s="904">
        <v>1</v>
      </c>
      <c r="H20" s="904">
        <v>10000</v>
      </c>
      <c r="I20" s="905">
        <f t="shared" ref="I20:I26" si="1">H20*G20</f>
        <v>10000</v>
      </c>
      <c r="J20" s="919"/>
    </row>
    <row r="21" spans="1:66" ht="18" customHeight="1">
      <c r="A21" s="904"/>
      <c r="B21" s="909"/>
      <c r="C21" s="909"/>
      <c r="D21" s="907"/>
      <c r="E21" s="377" t="s">
        <v>1393</v>
      </c>
      <c r="F21" s="378" t="s">
        <v>1372</v>
      </c>
      <c r="G21" s="904"/>
      <c r="H21" s="904"/>
      <c r="I21" s="905"/>
      <c r="J21" s="919"/>
    </row>
    <row r="22" spans="1:66" ht="18" customHeight="1">
      <c r="A22" s="904"/>
      <c r="B22" s="909"/>
      <c r="C22" s="909"/>
      <c r="D22" s="907" t="s">
        <v>1394</v>
      </c>
      <c r="E22" s="912" t="s">
        <v>1395</v>
      </c>
      <c r="F22" s="915" t="s">
        <v>1372</v>
      </c>
      <c r="G22" s="384">
        <v>4002.77</v>
      </c>
      <c r="H22" s="379">
        <v>60</v>
      </c>
      <c r="I22" s="561">
        <f t="shared" si="1"/>
        <v>240166.2</v>
      </c>
      <c r="J22" s="919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904"/>
      <c r="B23" s="909"/>
      <c r="C23" s="909"/>
      <c r="D23" s="907"/>
      <c r="E23" s="913"/>
      <c r="F23" s="916"/>
      <c r="G23" s="384">
        <v>2</v>
      </c>
      <c r="H23" s="379">
        <v>5000</v>
      </c>
      <c r="I23" s="561">
        <f t="shared" si="1"/>
        <v>10000</v>
      </c>
      <c r="J23" s="919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904"/>
      <c r="B24" s="909"/>
      <c r="C24" s="909"/>
      <c r="D24" s="907"/>
      <c r="E24" s="914"/>
      <c r="F24" s="917"/>
      <c r="G24" s="384">
        <v>180</v>
      </c>
      <c r="H24" s="379">
        <v>60</v>
      </c>
      <c r="I24" s="561">
        <f t="shared" si="1"/>
        <v>10800</v>
      </c>
      <c r="J24" s="919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904"/>
      <c r="B25" s="909"/>
      <c r="C25" s="909"/>
      <c r="D25" s="907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919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904"/>
      <c r="B26" s="909"/>
      <c r="C26" s="909"/>
      <c r="D26" s="907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919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904"/>
      <c r="B27" s="909"/>
      <c r="C27" s="909"/>
      <c r="D27" s="907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919"/>
    </row>
    <row r="28" spans="1:66" ht="18" customHeight="1">
      <c r="A28" s="904"/>
      <c r="B28" s="909"/>
      <c r="C28" s="909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919"/>
    </row>
    <row r="29" spans="1:66" ht="18" customHeight="1">
      <c r="A29" s="904"/>
      <c r="B29" s="909"/>
      <c r="C29" s="909"/>
      <c r="D29" s="907" t="s">
        <v>1400</v>
      </c>
      <c r="E29" s="907" t="s">
        <v>1400</v>
      </c>
      <c r="F29" s="906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919"/>
    </row>
    <row r="30" spans="1:66" ht="18" customHeight="1">
      <c r="A30" s="904"/>
      <c r="B30" s="909"/>
      <c r="C30" s="909"/>
      <c r="D30" s="907"/>
      <c r="E30" s="907"/>
      <c r="F30" s="906"/>
      <c r="G30" s="384">
        <v>114</v>
      </c>
      <c r="H30" s="389">
        <v>80</v>
      </c>
      <c r="I30" s="560">
        <f t="shared" si="2"/>
        <v>9120</v>
      </c>
      <c r="J30" s="919"/>
    </row>
    <row r="31" spans="1:66" ht="18" customHeight="1">
      <c r="A31" s="904"/>
      <c r="B31" s="909"/>
      <c r="C31" s="909"/>
      <c r="D31" s="907"/>
      <c r="E31" s="907"/>
      <c r="F31" s="906"/>
      <c r="G31" s="384">
        <v>171</v>
      </c>
      <c r="H31" s="389">
        <v>120</v>
      </c>
      <c r="I31" s="560">
        <f t="shared" si="2"/>
        <v>20520</v>
      </c>
      <c r="J31" s="919"/>
    </row>
    <row r="32" spans="1:66" ht="18" customHeight="1">
      <c r="A32" s="904"/>
      <c r="B32" s="909"/>
      <c r="C32" s="909"/>
      <c r="D32" s="907"/>
      <c r="E32" s="907"/>
      <c r="F32" s="906"/>
      <c r="G32" s="384">
        <v>72</v>
      </c>
      <c r="H32" s="389">
        <v>130</v>
      </c>
      <c r="I32" s="560">
        <f t="shared" si="2"/>
        <v>9360</v>
      </c>
      <c r="J32" s="919"/>
    </row>
    <row r="33" spans="1:10" ht="18" customHeight="1">
      <c r="A33" s="904"/>
      <c r="B33" s="909"/>
      <c r="C33" s="909"/>
      <c r="D33" s="907"/>
      <c r="E33" s="907"/>
      <c r="F33" s="906"/>
      <c r="G33" s="384">
        <v>4</v>
      </c>
      <c r="H33" s="389">
        <v>130</v>
      </c>
      <c r="I33" s="560">
        <f t="shared" si="2"/>
        <v>520</v>
      </c>
      <c r="J33" s="919"/>
    </row>
    <row r="34" spans="1:10" ht="18" customHeight="1">
      <c r="A34" s="904"/>
      <c r="B34" s="909"/>
      <c r="C34" s="909"/>
      <c r="D34" s="907"/>
      <c r="E34" s="907"/>
      <c r="F34" s="906"/>
      <c r="G34" s="384">
        <v>1</v>
      </c>
      <c r="H34" s="389">
        <v>6600</v>
      </c>
      <c r="I34" s="560">
        <f t="shared" si="2"/>
        <v>6600</v>
      </c>
      <c r="J34" s="919"/>
    </row>
    <row r="35" spans="1:10" ht="18" customHeight="1">
      <c r="A35" s="904"/>
      <c r="B35" s="909"/>
      <c r="C35" s="909"/>
      <c r="D35" s="907"/>
      <c r="E35" s="907"/>
      <c r="F35" s="906"/>
      <c r="G35" s="384">
        <v>70</v>
      </c>
      <c r="H35" s="389">
        <v>180</v>
      </c>
      <c r="I35" s="560">
        <f t="shared" si="2"/>
        <v>12600</v>
      </c>
      <c r="J35" s="919"/>
    </row>
    <row r="36" spans="1:10" ht="18" customHeight="1">
      <c r="A36" s="904"/>
      <c r="B36" s="909"/>
      <c r="C36" s="909"/>
      <c r="D36" s="907"/>
      <c r="E36" s="907"/>
      <c r="F36" s="906"/>
      <c r="G36" s="384">
        <v>1</v>
      </c>
      <c r="H36" s="389">
        <v>4800</v>
      </c>
      <c r="I36" s="560">
        <f t="shared" si="2"/>
        <v>4800</v>
      </c>
      <c r="J36" s="919"/>
    </row>
    <row r="37" spans="1:10" ht="18" customHeight="1">
      <c r="A37" s="904"/>
      <c r="B37" s="909"/>
      <c r="C37" s="909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919"/>
    </row>
    <row r="38" spans="1:10" ht="18" customHeight="1">
      <c r="A38" s="904"/>
      <c r="B38" s="909"/>
      <c r="C38" s="909"/>
      <c r="D38" s="907" t="s">
        <v>1403</v>
      </c>
      <c r="E38" s="907"/>
      <c r="F38" s="383" t="s">
        <v>1376</v>
      </c>
      <c r="G38" s="384">
        <v>0</v>
      </c>
      <c r="H38" s="379">
        <v>0</v>
      </c>
      <c r="I38" s="560">
        <v>0</v>
      </c>
      <c r="J38" s="919"/>
    </row>
    <row r="39" spans="1:10" ht="18" customHeight="1">
      <c r="A39" s="904"/>
      <c r="B39" s="909"/>
      <c r="C39" s="909"/>
      <c r="D39" s="907" t="s">
        <v>1404</v>
      </c>
      <c r="E39" s="907"/>
      <c r="F39" s="392" t="s">
        <v>1405</v>
      </c>
      <c r="G39" s="379">
        <v>0</v>
      </c>
      <c r="H39" s="379">
        <v>0</v>
      </c>
      <c r="I39" s="560">
        <v>0</v>
      </c>
      <c r="J39" s="919"/>
    </row>
    <row r="40" spans="1:10" s="395" customFormat="1" ht="18" customHeight="1">
      <c r="A40" s="908"/>
      <c r="B40" s="910"/>
      <c r="C40" s="910" t="s">
        <v>1406</v>
      </c>
      <c r="D40" s="910"/>
      <c r="E40" s="910"/>
      <c r="F40" s="393"/>
      <c r="G40" s="394"/>
      <c r="H40" s="394"/>
      <c r="I40" s="562">
        <f>SUM(I3:I39)</f>
        <v>1960935.0999999999</v>
      </c>
      <c r="J40" s="919"/>
    </row>
    <row r="41" spans="1:10" ht="18" customHeight="1">
      <c r="A41" s="904"/>
      <c r="B41" s="909"/>
      <c r="C41" s="922" t="s">
        <v>1407</v>
      </c>
      <c r="D41" s="922"/>
      <c r="E41" s="922"/>
      <c r="F41" s="396"/>
      <c r="G41" s="379">
        <v>0</v>
      </c>
      <c r="H41" s="923">
        <v>0.1</v>
      </c>
      <c r="I41" s="926">
        <f>H41*I40</f>
        <v>196093.51</v>
      </c>
      <c r="J41" s="919"/>
    </row>
    <row r="42" spans="1:10" ht="18" customHeight="1">
      <c r="A42" s="904"/>
      <c r="B42" s="909"/>
      <c r="C42" s="922" t="s">
        <v>1408</v>
      </c>
      <c r="D42" s="922"/>
      <c r="E42" s="922"/>
      <c r="F42" s="396"/>
      <c r="G42" s="379">
        <v>0</v>
      </c>
      <c r="H42" s="924"/>
      <c r="I42" s="927">
        <v>12829.8</v>
      </c>
      <c r="J42" s="919"/>
    </row>
    <row r="43" spans="1:10" ht="18" customHeight="1">
      <c r="A43" s="904"/>
      <c r="B43" s="909"/>
      <c r="C43" s="922" t="s">
        <v>1409</v>
      </c>
      <c r="D43" s="922"/>
      <c r="E43" s="922"/>
      <c r="F43" s="396"/>
      <c r="G43" s="379"/>
      <c r="H43" s="924"/>
      <c r="I43" s="927">
        <f>H43</f>
        <v>0</v>
      </c>
      <c r="J43" s="919"/>
    </row>
    <row r="44" spans="1:10" ht="18" customHeight="1">
      <c r="A44" s="904"/>
      <c r="B44" s="909"/>
      <c r="C44" s="922" t="s">
        <v>1410</v>
      </c>
      <c r="D44" s="922"/>
      <c r="E44" s="922"/>
      <c r="F44" s="397" t="s">
        <v>1411</v>
      </c>
      <c r="G44" s="379"/>
      <c r="H44" s="924"/>
      <c r="I44" s="927">
        <f>H44</f>
        <v>0</v>
      </c>
      <c r="J44" s="919"/>
    </row>
    <row r="45" spans="1:10" s="376" customFormat="1" ht="18" customHeight="1">
      <c r="A45" s="904"/>
      <c r="B45" s="909"/>
      <c r="C45" s="922" t="s">
        <v>1412</v>
      </c>
      <c r="D45" s="922"/>
      <c r="E45" s="922"/>
      <c r="F45" s="382" t="s">
        <v>1413</v>
      </c>
      <c r="G45" s="384"/>
      <c r="H45" s="924"/>
      <c r="I45" s="927">
        <f>H45</f>
        <v>0</v>
      </c>
      <c r="J45" s="919"/>
    </row>
    <row r="46" spans="1:10" s="376" customFormat="1" ht="18" customHeight="1">
      <c r="A46" s="904"/>
      <c r="B46" s="909"/>
      <c r="C46" s="922" t="s">
        <v>1414</v>
      </c>
      <c r="D46" s="922"/>
      <c r="E46" s="922"/>
      <c r="F46" s="396"/>
      <c r="G46" s="379">
        <v>0</v>
      </c>
      <c r="H46" s="925"/>
      <c r="I46" s="928">
        <v>0</v>
      </c>
      <c r="J46" s="919"/>
    </row>
    <row r="47" spans="1:10" s="376" customFormat="1" ht="18" customHeight="1">
      <c r="A47" s="904"/>
      <c r="B47" s="909"/>
      <c r="C47" s="922" t="s">
        <v>1415</v>
      </c>
      <c r="D47" s="922"/>
      <c r="E47" s="922"/>
      <c r="F47" s="379" t="s">
        <v>1416</v>
      </c>
      <c r="G47" s="379"/>
      <c r="H47" s="379"/>
      <c r="I47" s="560">
        <v>30000</v>
      </c>
      <c r="J47" s="919"/>
    </row>
    <row r="48" spans="1:10" s="398" customFormat="1" ht="18" customHeight="1">
      <c r="A48" s="904"/>
      <c r="B48" s="909"/>
      <c r="C48" s="922" t="s">
        <v>1417</v>
      </c>
      <c r="D48" s="922"/>
      <c r="E48" s="922"/>
      <c r="F48" s="392"/>
      <c r="G48" s="384"/>
      <c r="H48" s="379">
        <v>90000</v>
      </c>
      <c r="I48" s="560">
        <f>H48</f>
        <v>90000</v>
      </c>
      <c r="J48" s="919"/>
    </row>
    <row r="49" spans="1:10" ht="18" customHeight="1">
      <c r="A49" s="904"/>
      <c r="B49" s="909"/>
      <c r="C49" s="929" t="s">
        <v>1418</v>
      </c>
      <c r="D49" s="929"/>
      <c r="E49" s="929"/>
      <c r="F49" s="379"/>
      <c r="G49" s="379"/>
      <c r="H49" s="379"/>
      <c r="I49" s="560">
        <f>SUM(I41:I48)</f>
        <v>328923.31</v>
      </c>
      <c r="J49" s="919"/>
    </row>
    <row r="50" spans="1:10" s="395" customFormat="1" ht="18" customHeight="1">
      <c r="A50" s="908"/>
      <c r="B50" s="910"/>
      <c r="C50" s="929" t="s">
        <v>24</v>
      </c>
      <c r="D50" s="929"/>
      <c r="E50" s="929"/>
      <c r="F50" s="394"/>
      <c r="G50" s="394"/>
      <c r="H50" s="394"/>
      <c r="I50" s="562">
        <f>I49+I40</f>
        <v>2289858.4099999997</v>
      </c>
      <c r="J50" s="919"/>
    </row>
    <row r="51" spans="1:10" ht="18" customHeight="1">
      <c r="A51" s="379"/>
      <c r="B51" s="397"/>
      <c r="C51" s="908" t="s">
        <v>1540</v>
      </c>
      <c r="D51" s="908"/>
      <c r="E51" s="908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941" t="s">
        <v>1541</v>
      </c>
      <c r="B1" s="941"/>
      <c r="C1" s="941"/>
      <c r="D1" s="941"/>
      <c r="E1" s="941"/>
      <c r="F1" s="941"/>
      <c r="G1" s="941"/>
      <c r="H1" s="941"/>
      <c r="I1" s="941"/>
      <c r="J1" s="942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932" t="s">
        <v>1365</v>
      </c>
      <c r="E2" s="932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931">
        <v>1</v>
      </c>
      <c r="B3" s="931" t="s">
        <v>1420</v>
      </c>
      <c r="C3" s="411" t="s">
        <v>1421</v>
      </c>
      <c r="D3" s="931" t="s">
        <v>1422</v>
      </c>
      <c r="E3" s="931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932">
        <f>ROUND(I12*0.8,0)</f>
        <v>233968</v>
      </c>
    </row>
    <row r="4" spans="1:10 16362:16362" s="405" customFormat="1" ht="18" customHeight="1">
      <c r="A4" s="931"/>
      <c r="B4" s="931"/>
      <c r="C4" s="411" t="s">
        <v>281</v>
      </c>
      <c r="D4" s="931" t="s">
        <v>1423</v>
      </c>
      <c r="E4" s="931"/>
      <c r="F4" s="411" t="s">
        <v>1388</v>
      </c>
      <c r="G4" s="412">
        <v>104</v>
      </c>
      <c r="H4" s="413">
        <v>350</v>
      </c>
      <c r="I4" s="412">
        <f>G4*H4</f>
        <v>36400</v>
      </c>
      <c r="J4" s="943"/>
    </row>
    <row r="5" spans="1:10 16362:16362" s="410" customFormat="1" ht="18" customHeight="1">
      <c r="A5" s="933"/>
      <c r="B5" s="933"/>
      <c r="C5" s="933" t="s">
        <v>1424</v>
      </c>
      <c r="D5" s="933"/>
      <c r="E5" s="933"/>
      <c r="F5" s="414"/>
      <c r="G5" s="409"/>
      <c r="H5" s="409"/>
      <c r="I5" s="415">
        <f>I3+I4</f>
        <v>238600</v>
      </c>
      <c r="J5" s="943"/>
      <c r="XEH5" s="416"/>
    </row>
    <row r="6" spans="1:10 16362:16362" s="405" customFormat="1" ht="18" customHeight="1">
      <c r="A6" s="931"/>
      <c r="B6" s="931"/>
      <c r="C6" s="931" t="s">
        <v>1408</v>
      </c>
      <c r="D6" s="931"/>
      <c r="E6" s="931"/>
      <c r="F6" s="931" t="s">
        <v>1376</v>
      </c>
      <c r="G6" s="934">
        <v>1</v>
      </c>
      <c r="H6" s="930">
        <f>I5*0.1</f>
        <v>23860</v>
      </c>
      <c r="I6" s="930">
        <f>G6*H6</f>
        <v>23860</v>
      </c>
      <c r="J6" s="943"/>
    </row>
    <row r="7" spans="1:10 16362:16362" s="405" customFormat="1" ht="18" customHeight="1">
      <c r="A7" s="931"/>
      <c r="B7" s="931"/>
      <c r="C7" s="931" t="s">
        <v>1425</v>
      </c>
      <c r="D7" s="931"/>
      <c r="E7" s="931"/>
      <c r="F7" s="931"/>
      <c r="G7" s="934"/>
      <c r="H7" s="930"/>
      <c r="I7" s="930"/>
      <c r="J7" s="943"/>
    </row>
    <row r="8" spans="1:10 16362:16362" s="405" customFormat="1" ht="18" customHeight="1">
      <c r="A8" s="931"/>
      <c r="B8" s="931"/>
      <c r="C8" s="931" t="s">
        <v>1409</v>
      </c>
      <c r="D8" s="931"/>
      <c r="E8" s="931"/>
      <c r="F8" s="931"/>
      <c r="G8" s="934"/>
      <c r="H8" s="930"/>
      <c r="I8" s="930"/>
      <c r="J8" s="943"/>
    </row>
    <row r="9" spans="1:10 16362:16362" s="405" customFormat="1" ht="18" customHeight="1">
      <c r="A9" s="931"/>
      <c r="B9" s="931"/>
      <c r="C9" s="931" t="s">
        <v>1410</v>
      </c>
      <c r="D9" s="931"/>
      <c r="E9" s="931"/>
      <c r="F9" s="931"/>
      <c r="G9" s="934"/>
      <c r="H9" s="930"/>
      <c r="I9" s="930"/>
      <c r="J9" s="943"/>
    </row>
    <row r="10" spans="1:10 16362:16362" s="405" customFormat="1" ht="18" customHeight="1">
      <c r="A10" s="931"/>
      <c r="B10" s="931"/>
      <c r="C10" s="931" t="s">
        <v>1426</v>
      </c>
      <c r="D10" s="931"/>
      <c r="E10" s="931"/>
      <c r="F10" s="411" t="s">
        <v>1376</v>
      </c>
      <c r="G10" s="413">
        <v>1</v>
      </c>
      <c r="H10" s="417">
        <f>I10</f>
        <v>30000</v>
      </c>
      <c r="I10" s="417">
        <v>30000</v>
      </c>
      <c r="J10" s="943"/>
    </row>
    <row r="11" spans="1:10 16362:16362" s="410" customFormat="1" ht="18" customHeight="1">
      <c r="A11" s="933"/>
      <c r="B11" s="933"/>
      <c r="C11" s="933" t="s">
        <v>1427</v>
      </c>
      <c r="D11" s="933"/>
      <c r="E11" s="933"/>
      <c r="F11" s="414"/>
      <c r="G11" s="409"/>
      <c r="H11" s="409"/>
      <c r="I11" s="415">
        <f>I6+I7+I8+I9+I10</f>
        <v>53860</v>
      </c>
      <c r="J11" s="943"/>
    </row>
    <row r="12" spans="1:10 16362:16362" s="405" customFormat="1" ht="18" customHeight="1">
      <c r="A12" s="411"/>
      <c r="B12" s="411"/>
      <c r="C12" s="933" t="s">
        <v>1428</v>
      </c>
      <c r="D12" s="933"/>
      <c r="E12" s="933"/>
      <c r="F12" s="411"/>
      <c r="G12" s="409"/>
      <c r="H12" s="409"/>
      <c r="I12" s="415">
        <f>I5+I11</f>
        <v>292460</v>
      </c>
      <c r="J12" s="943"/>
    </row>
    <row r="13" spans="1:10 16362:16362" s="418" customFormat="1" ht="18" customHeight="1">
      <c r="A13" s="931">
        <v>2</v>
      </c>
      <c r="B13" s="931" t="s">
        <v>1429</v>
      </c>
      <c r="C13" s="931" t="s">
        <v>1430</v>
      </c>
      <c r="D13" s="931" t="s">
        <v>1431</v>
      </c>
      <c r="E13" s="931"/>
      <c r="F13" s="411" t="s">
        <v>1372</v>
      </c>
      <c r="G13" s="412">
        <v>2157</v>
      </c>
      <c r="H13" s="413">
        <v>122.021325915624</v>
      </c>
      <c r="I13" s="412">
        <v>263200</v>
      </c>
      <c r="J13" s="944">
        <f>ROUND(I40*0.8,0)</f>
        <v>922130</v>
      </c>
    </row>
    <row r="14" spans="1:10 16362:16362" s="418" customFormat="1" ht="18" customHeight="1">
      <c r="A14" s="931"/>
      <c r="B14" s="931"/>
      <c r="C14" s="931"/>
      <c r="D14" s="931" t="s">
        <v>1432</v>
      </c>
      <c r="E14" s="931"/>
      <c r="F14" s="411" t="s">
        <v>1372</v>
      </c>
      <c r="G14" s="412">
        <v>500</v>
      </c>
      <c r="H14" s="413">
        <v>42.6</v>
      </c>
      <c r="I14" s="412">
        <v>21300</v>
      </c>
      <c r="J14" s="945"/>
    </row>
    <row r="15" spans="1:10 16362:16362" s="418" customFormat="1" ht="18" customHeight="1">
      <c r="A15" s="931"/>
      <c r="B15" s="931"/>
      <c r="C15" s="931"/>
      <c r="D15" s="931" t="s">
        <v>1433</v>
      </c>
      <c r="E15" s="931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945"/>
    </row>
    <row r="16" spans="1:10 16362:16362" s="418" customFormat="1" ht="18" customHeight="1">
      <c r="A16" s="931"/>
      <c r="B16" s="931"/>
      <c r="C16" s="931"/>
      <c r="D16" s="931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945"/>
    </row>
    <row r="17" spans="1:16362" s="418" customFormat="1" ht="18" customHeight="1">
      <c r="A17" s="931"/>
      <c r="B17" s="931"/>
      <c r="C17" s="931"/>
      <c r="D17" s="931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945"/>
    </row>
    <row r="18" spans="1:16362" s="418" customFormat="1" ht="18" customHeight="1">
      <c r="A18" s="931"/>
      <c r="B18" s="931"/>
      <c r="C18" s="931"/>
      <c r="D18" s="931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945"/>
    </row>
    <row r="19" spans="1:16362" s="418" customFormat="1" ht="18" customHeight="1">
      <c r="A19" s="931"/>
      <c r="B19" s="931"/>
      <c r="C19" s="931"/>
      <c r="D19" s="931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945"/>
    </row>
    <row r="20" spans="1:16362" s="418" customFormat="1" ht="18" customHeight="1">
      <c r="A20" s="931"/>
      <c r="B20" s="931"/>
      <c r="C20" s="931"/>
      <c r="D20" s="931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945"/>
    </row>
    <row r="21" spans="1:16362" s="418" customFormat="1" ht="18" customHeight="1">
      <c r="A21" s="931"/>
      <c r="B21" s="931"/>
      <c r="C21" s="931"/>
      <c r="D21" s="931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945"/>
    </row>
    <row r="22" spans="1:16362" s="418" customFormat="1" ht="18" customHeight="1">
      <c r="A22" s="931"/>
      <c r="B22" s="931"/>
      <c r="C22" s="931"/>
      <c r="D22" s="931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945"/>
    </row>
    <row r="23" spans="1:16362" s="418" customFormat="1" ht="18" customHeight="1">
      <c r="A23" s="931"/>
      <c r="B23" s="931"/>
      <c r="C23" s="931"/>
      <c r="D23" s="931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945"/>
    </row>
    <row r="24" spans="1:16362" s="418" customFormat="1" ht="18" customHeight="1">
      <c r="A24" s="931"/>
      <c r="B24" s="931"/>
      <c r="C24" s="931"/>
      <c r="D24" s="931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945"/>
    </row>
    <row r="25" spans="1:16362" s="418" customFormat="1" ht="18" customHeight="1">
      <c r="A25" s="931"/>
      <c r="B25" s="931"/>
      <c r="C25" s="931"/>
      <c r="D25" s="931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945"/>
    </row>
    <row r="26" spans="1:16362" s="418" customFormat="1" ht="18" customHeight="1">
      <c r="A26" s="931"/>
      <c r="B26" s="931"/>
      <c r="C26" s="931"/>
      <c r="D26" s="931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945"/>
    </row>
    <row r="27" spans="1:16362" s="418" customFormat="1" ht="18" customHeight="1">
      <c r="A27" s="931"/>
      <c r="B27" s="931"/>
      <c r="C27" s="931"/>
      <c r="D27" s="931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945"/>
    </row>
    <row r="28" spans="1:16362" s="418" customFormat="1" ht="18" customHeight="1">
      <c r="A28" s="931"/>
      <c r="B28" s="931"/>
      <c r="C28" s="931"/>
      <c r="D28" s="931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945"/>
    </row>
    <row r="29" spans="1:16362" s="418" customFormat="1" ht="18" customHeight="1">
      <c r="A29" s="931"/>
      <c r="B29" s="931"/>
      <c r="C29" s="931"/>
      <c r="D29" s="931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945"/>
    </row>
    <row r="30" spans="1:16362" s="418" customFormat="1" ht="18" customHeight="1">
      <c r="A30" s="933"/>
      <c r="B30" s="933"/>
      <c r="C30" s="931"/>
      <c r="D30" s="931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945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933"/>
      <c r="B31" s="933"/>
      <c r="C31" s="933" t="s">
        <v>1424</v>
      </c>
      <c r="D31" s="933"/>
      <c r="E31" s="933"/>
      <c r="F31" s="414"/>
      <c r="G31" s="409"/>
      <c r="H31" s="409"/>
      <c r="I31" s="415">
        <f>SUM(I13:I30)</f>
        <v>1002421</v>
      </c>
      <c r="J31" s="945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931"/>
      <c r="B32" s="931"/>
      <c r="C32" s="935" t="s">
        <v>1408</v>
      </c>
      <c r="D32" s="935"/>
      <c r="E32" s="935"/>
      <c r="F32" s="931" t="s">
        <v>1376</v>
      </c>
      <c r="G32" s="934">
        <v>1</v>
      </c>
      <c r="H32" s="930">
        <f>I31*0.1</f>
        <v>100242.1</v>
      </c>
      <c r="I32" s="930">
        <f>G32*H32</f>
        <v>100242.1</v>
      </c>
      <c r="J32" s="945"/>
    </row>
    <row r="33" spans="1:16362" s="420" customFormat="1" ht="18" customHeight="1">
      <c r="A33" s="931"/>
      <c r="B33" s="931"/>
      <c r="C33" s="935" t="s">
        <v>1425</v>
      </c>
      <c r="D33" s="935"/>
      <c r="E33" s="935"/>
      <c r="F33" s="931"/>
      <c r="G33" s="934"/>
      <c r="H33" s="930"/>
      <c r="I33" s="930"/>
      <c r="J33" s="945"/>
    </row>
    <row r="34" spans="1:16362" s="420" customFormat="1" ht="18" customHeight="1">
      <c r="A34" s="931"/>
      <c r="B34" s="931"/>
      <c r="C34" s="935" t="s">
        <v>1409</v>
      </c>
      <c r="D34" s="935"/>
      <c r="E34" s="935"/>
      <c r="F34" s="931"/>
      <c r="G34" s="934"/>
      <c r="H34" s="930"/>
      <c r="I34" s="930"/>
      <c r="J34" s="945"/>
    </row>
    <row r="35" spans="1:16362" s="420" customFormat="1" ht="18" customHeight="1">
      <c r="A35" s="931"/>
      <c r="B35" s="931"/>
      <c r="C35" s="935" t="s">
        <v>1410</v>
      </c>
      <c r="D35" s="935"/>
      <c r="E35" s="935"/>
      <c r="F35" s="931"/>
      <c r="G35" s="934"/>
      <c r="H35" s="930"/>
      <c r="I35" s="930"/>
      <c r="J35" s="945"/>
    </row>
    <row r="36" spans="1:16362" s="420" customFormat="1" ht="18" customHeight="1">
      <c r="A36" s="931"/>
      <c r="B36" s="931"/>
      <c r="C36" s="935" t="s">
        <v>1412</v>
      </c>
      <c r="D36" s="935"/>
      <c r="E36" s="935"/>
      <c r="F36" s="931"/>
      <c r="G36" s="934"/>
      <c r="H36" s="930"/>
      <c r="I36" s="930"/>
      <c r="J36" s="945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931"/>
      <c r="B37" s="931"/>
      <c r="C37" s="935" t="s">
        <v>1415</v>
      </c>
      <c r="D37" s="935"/>
      <c r="E37" s="935"/>
      <c r="F37" s="411" t="s">
        <v>1376</v>
      </c>
      <c r="G37" s="413">
        <v>1</v>
      </c>
      <c r="H37" s="417">
        <v>18000</v>
      </c>
      <c r="I37" s="417">
        <f>H37</f>
        <v>18000</v>
      </c>
      <c r="J37" s="945"/>
    </row>
    <row r="38" spans="1:16362" s="420" customFormat="1" ht="18" customHeight="1">
      <c r="A38" s="931"/>
      <c r="B38" s="931"/>
      <c r="C38" s="935" t="s">
        <v>1446</v>
      </c>
      <c r="D38" s="935"/>
      <c r="E38" s="935"/>
      <c r="F38" s="411" t="s">
        <v>1376</v>
      </c>
      <c r="G38" s="413">
        <v>1</v>
      </c>
      <c r="H38" s="417">
        <f>I38</f>
        <v>32000</v>
      </c>
      <c r="I38" s="417">
        <v>32000</v>
      </c>
      <c r="J38" s="945"/>
    </row>
    <row r="39" spans="1:16362" s="420" customFormat="1" ht="18" customHeight="1">
      <c r="A39" s="931"/>
      <c r="B39" s="931"/>
      <c r="C39" s="933" t="s">
        <v>1427</v>
      </c>
      <c r="D39" s="933"/>
      <c r="E39" s="933"/>
      <c r="F39" s="411"/>
      <c r="G39" s="411"/>
      <c r="H39" s="409"/>
      <c r="I39" s="415">
        <f>I32+I33+I34+I35+I37+I38</f>
        <v>150242.1</v>
      </c>
      <c r="J39" s="945"/>
    </row>
    <row r="40" spans="1:16362" s="420" customFormat="1" ht="18" customHeight="1">
      <c r="A40" s="411"/>
      <c r="B40" s="411"/>
      <c r="C40" s="933" t="s">
        <v>1428</v>
      </c>
      <c r="D40" s="933"/>
      <c r="E40" s="933"/>
      <c r="F40" s="411"/>
      <c r="G40" s="411"/>
      <c r="H40" s="409"/>
      <c r="I40" s="415">
        <f>I31+I39</f>
        <v>1152663.1000000001</v>
      </c>
      <c r="J40" s="945"/>
    </row>
    <row r="41" spans="1:16362" s="405" customFormat="1" ht="18" customHeight="1">
      <c r="A41" s="931">
        <v>3</v>
      </c>
      <c r="B41" s="931" t="s">
        <v>1447</v>
      </c>
      <c r="C41" s="931" t="s">
        <v>1430</v>
      </c>
      <c r="D41" s="931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932">
        <f>ROUND(I77*0.8,0)</f>
        <v>1659473</v>
      </c>
    </row>
    <row r="42" spans="1:16362" s="405" customFormat="1" ht="18" customHeight="1">
      <c r="A42" s="931"/>
      <c r="B42" s="931"/>
      <c r="C42" s="931"/>
      <c r="D42" s="931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943"/>
    </row>
    <row r="43" spans="1:16362" s="405" customFormat="1" ht="18" customHeight="1">
      <c r="A43" s="931"/>
      <c r="B43" s="931"/>
      <c r="C43" s="931"/>
      <c r="D43" s="931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943"/>
    </row>
    <row r="44" spans="1:16362" s="405" customFormat="1" ht="18" customHeight="1">
      <c r="A44" s="931"/>
      <c r="B44" s="931"/>
      <c r="C44" s="931"/>
      <c r="D44" s="931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943"/>
    </row>
    <row r="45" spans="1:16362" s="405" customFormat="1" ht="18" customHeight="1">
      <c r="A45" s="931"/>
      <c r="B45" s="931"/>
      <c r="C45" s="931"/>
      <c r="D45" s="931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943"/>
    </row>
    <row r="46" spans="1:16362" s="405" customFormat="1" ht="18" customHeight="1">
      <c r="A46" s="931"/>
      <c r="B46" s="931"/>
      <c r="C46" s="931"/>
      <c r="D46" s="931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943"/>
    </row>
    <row r="47" spans="1:16362" s="405" customFormat="1" ht="18" customHeight="1">
      <c r="A47" s="931"/>
      <c r="B47" s="931"/>
      <c r="C47" s="931"/>
      <c r="D47" s="931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943"/>
    </row>
    <row r="48" spans="1:16362" s="405" customFormat="1" ht="18" customHeight="1">
      <c r="A48" s="931"/>
      <c r="B48" s="931"/>
      <c r="C48" s="931"/>
      <c r="D48" s="931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943"/>
    </row>
    <row r="49" spans="1:10" s="405" customFormat="1" ht="18" customHeight="1">
      <c r="A49" s="931"/>
      <c r="B49" s="931"/>
      <c r="C49" s="931"/>
      <c r="D49" s="931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943"/>
    </row>
    <row r="50" spans="1:10" s="405" customFormat="1" ht="18" customHeight="1">
      <c r="A50" s="931"/>
      <c r="B50" s="931"/>
      <c r="C50" s="931"/>
      <c r="D50" s="931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943"/>
    </row>
    <row r="51" spans="1:10" s="405" customFormat="1" ht="18" customHeight="1">
      <c r="A51" s="931"/>
      <c r="B51" s="931"/>
      <c r="C51" s="931"/>
      <c r="D51" s="931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943"/>
    </row>
    <row r="52" spans="1:10" s="405" customFormat="1" ht="18" customHeight="1">
      <c r="A52" s="931"/>
      <c r="B52" s="931"/>
      <c r="C52" s="931"/>
      <c r="D52" s="931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943"/>
    </row>
    <row r="53" spans="1:10" s="405" customFormat="1" ht="18" customHeight="1">
      <c r="A53" s="931"/>
      <c r="B53" s="931"/>
      <c r="C53" s="931"/>
      <c r="D53" s="931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943"/>
    </row>
    <row r="54" spans="1:10" s="405" customFormat="1" ht="18" customHeight="1">
      <c r="A54" s="931"/>
      <c r="B54" s="931"/>
      <c r="C54" s="931"/>
      <c r="D54" s="931" t="s">
        <v>1458</v>
      </c>
      <c r="E54" s="931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943"/>
    </row>
    <row r="55" spans="1:10" s="405" customFormat="1" ht="18" customHeight="1">
      <c r="A55" s="931"/>
      <c r="B55" s="931"/>
      <c r="C55" s="931" t="s">
        <v>1459</v>
      </c>
      <c r="D55" s="931" t="s">
        <v>1460</v>
      </c>
      <c r="E55" s="411" t="s">
        <v>1461</v>
      </c>
      <c r="F55" s="931" t="s">
        <v>1376</v>
      </c>
      <c r="G55" s="412">
        <v>1</v>
      </c>
      <c r="H55" s="413">
        <v>20000</v>
      </c>
      <c r="I55" s="412">
        <f t="shared" si="2"/>
        <v>20000</v>
      </c>
      <c r="J55" s="943"/>
    </row>
    <row r="56" spans="1:10" s="405" customFormat="1" ht="18" customHeight="1">
      <c r="A56" s="931"/>
      <c r="B56" s="931"/>
      <c r="C56" s="931"/>
      <c r="D56" s="931"/>
      <c r="E56" s="411" t="s">
        <v>1462</v>
      </c>
      <c r="F56" s="931"/>
      <c r="G56" s="412">
        <v>1</v>
      </c>
      <c r="H56" s="413">
        <v>15000</v>
      </c>
      <c r="I56" s="412">
        <f t="shared" si="2"/>
        <v>15000</v>
      </c>
      <c r="J56" s="943"/>
    </row>
    <row r="57" spans="1:10" s="405" customFormat="1" ht="18" customHeight="1">
      <c r="A57" s="931"/>
      <c r="B57" s="931"/>
      <c r="C57" s="931"/>
      <c r="D57" s="931"/>
      <c r="E57" s="411" t="s">
        <v>1463</v>
      </c>
      <c r="F57" s="931"/>
      <c r="G57" s="412">
        <v>1</v>
      </c>
      <c r="H57" s="413">
        <v>10000</v>
      </c>
      <c r="I57" s="412">
        <f t="shared" si="2"/>
        <v>10000</v>
      </c>
      <c r="J57" s="943"/>
    </row>
    <row r="58" spans="1:10" s="405" customFormat="1" ht="18" customHeight="1">
      <c r="A58" s="931"/>
      <c r="B58" s="931"/>
      <c r="C58" s="931"/>
      <c r="D58" s="931"/>
      <c r="E58" s="411" t="s">
        <v>1464</v>
      </c>
      <c r="F58" s="931"/>
      <c r="G58" s="412">
        <v>1</v>
      </c>
      <c r="H58" s="413">
        <v>25000</v>
      </c>
      <c r="I58" s="412">
        <f t="shared" si="2"/>
        <v>25000</v>
      </c>
      <c r="J58" s="943"/>
    </row>
    <row r="59" spans="1:10" s="405" customFormat="1" ht="18" customHeight="1">
      <c r="A59" s="931"/>
      <c r="B59" s="931"/>
      <c r="C59" s="931"/>
      <c r="D59" s="931"/>
      <c r="E59" s="411" t="s">
        <v>1443</v>
      </c>
      <c r="F59" s="931"/>
      <c r="G59" s="412">
        <v>1</v>
      </c>
      <c r="H59" s="413">
        <v>4000</v>
      </c>
      <c r="I59" s="412">
        <f t="shared" si="2"/>
        <v>4000</v>
      </c>
      <c r="J59" s="943"/>
    </row>
    <row r="60" spans="1:10" s="405" customFormat="1" ht="18" customHeight="1">
      <c r="A60" s="931"/>
      <c r="B60" s="931"/>
      <c r="C60" s="931"/>
      <c r="D60" s="931" t="s">
        <v>1465</v>
      </c>
      <c r="E60" s="931"/>
      <c r="F60" s="411" t="s">
        <v>1376</v>
      </c>
      <c r="G60" s="412">
        <v>1</v>
      </c>
      <c r="H60" s="413">
        <v>80000</v>
      </c>
      <c r="I60" s="412">
        <v>80000</v>
      </c>
      <c r="J60" s="943"/>
    </row>
    <row r="61" spans="1:10" s="405" customFormat="1" ht="18" customHeight="1">
      <c r="A61" s="931"/>
      <c r="B61" s="931"/>
      <c r="C61" s="931" t="s">
        <v>1466</v>
      </c>
      <c r="D61" s="931" t="s">
        <v>1467</v>
      </c>
      <c r="E61" s="931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943"/>
    </row>
    <row r="62" spans="1:10" s="405" customFormat="1" ht="18" customHeight="1">
      <c r="A62" s="931"/>
      <c r="B62" s="931"/>
      <c r="C62" s="931"/>
      <c r="D62" s="931" t="s">
        <v>1468</v>
      </c>
      <c r="E62" s="931"/>
      <c r="F62" s="411" t="s">
        <v>1376</v>
      </c>
      <c r="G62" s="412">
        <v>0</v>
      </c>
      <c r="H62" s="413">
        <v>0</v>
      </c>
      <c r="I62" s="412">
        <v>0</v>
      </c>
      <c r="J62" s="943"/>
    </row>
    <row r="63" spans="1:10" s="405" customFormat="1" ht="18" customHeight="1">
      <c r="A63" s="931"/>
      <c r="B63" s="931"/>
      <c r="C63" s="931"/>
      <c r="D63" s="931" t="s">
        <v>1469</v>
      </c>
      <c r="E63" s="931"/>
      <c r="F63" s="411" t="s">
        <v>1470</v>
      </c>
      <c r="G63" s="412">
        <v>0</v>
      </c>
      <c r="H63" s="413">
        <v>0</v>
      </c>
      <c r="I63" s="412">
        <v>0</v>
      </c>
      <c r="J63" s="943"/>
    </row>
    <row r="64" spans="1:10" s="405" customFormat="1" ht="18" customHeight="1">
      <c r="A64" s="931"/>
      <c r="B64" s="931"/>
      <c r="C64" s="931" t="s">
        <v>1471</v>
      </c>
      <c r="D64" s="931"/>
      <c r="E64" s="931"/>
      <c r="F64" s="411" t="s">
        <v>1376</v>
      </c>
      <c r="G64" s="412">
        <v>1</v>
      </c>
      <c r="H64" s="413">
        <v>25000</v>
      </c>
      <c r="I64" s="412">
        <v>25000</v>
      </c>
      <c r="J64" s="943"/>
    </row>
    <row r="65" spans="1:16362" s="405" customFormat="1" ht="18" customHeight="1">
      <c r="A65" s="931"/>
      <c r="B65" s="931"/>
      <c r="C65" s="931" t="s">
        <v>1472</v>
      </c>
      <c r="D65" s="931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943"/>
    </row>
    <row r="66" spans="1:16362" s="405" customFormat="1" ht="18" customHeight="1">
      <c r="A66" s="931"/>
      <c r="B66" s="931"/>
      <c r="C66" s="931"/>
      <c r="D66" s="931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943"/>
    </row>
    <row r="67" spans="1:16362" s="405" customFormat="1" ht="18" customHeight="1">
      <c r="A67" s="931"/>
      <c r="B67" s="931"/>
      <c r="C67" s="931" t="s">
        <v>1475</v>
      </c>
      <c r="D67" s="931" t="s">
        <v>1476</v>
      </c>
      <c r="E67" s="931"/>
      <c r="F67" s="411" t="s">
        <v>1376</v>
      </c>
      <c r="G67" s="412">
        <v>1</v>
      </c>
      <c r="H67" s="413">
        <v>20000</v>
      </c>
      <c r="I67" s="412">
        <v>20000</v>
      </c>
      <c r="J67" s="943"/>
    </row>
    <row r="68" spans="1:16362" s="405" customFormat="1" ht="18" customHeight="1">
      <c r="A68" s="931"/>
      <c r="B68" s="931"/>
      <c r="C68" s="931"/>
      <c r="D68" s="931" t="s">
        <v>1477</v>
      </c>
      <c r="E68" s="931"/>
      <c r="F68" s="411" t="s">
        <v>1376</v>
      </c>
      <c r="G68" s="412">
        <v>1</v>
      </c>
      <c r="H68" s="413">
        <v>20000</v>
      </c>
      <c r="I68" s="412">
        <v>20000</v>
      </c>
      <c r="J68" s="943"/>
    </row>
    <row r="69" spans="1:16362" s="405" customFormat="1" ht="18" customHeight="1">
      <c r="A69" s="931"/>
      <c r="B69" s="931"/>
      <c r="C69" s="933" t="s">
        <v>1424</v>
      </c>
      <c r="D69" s="933"/>
      <c r="E69" s="933"/>
      <c r="F69" s="411"/>
      <c r="G69" s="412"/>
      <c r="H69" s="412"/>
      <c r="I69" s="415">
        <f>SUM(I41:I68)</f>
        <v>1836674</v>
      </c>
      <c r="J69" s="943"/>
    </row>
    <row r="70" spans="1:16362" s="405" customFormat="1" ht="18" customHeight="1">
      <c r="A70" s="931"/>
      <c r="B70" s="931"/>
      <c r="C70" s="935" t="s">
        <v>1408</v>
      </c>
      <c r="D70" s="935"/>
      <c r="E70" s="935"/>
      <c r="F70" s="931" t="s">
        <v>1376</v>
      </c>
      <c r="G70" s="934">
        <v>1</v>
      </c>
      <c r="H70" s="930">
        <f>I69*0.1</f>
        <v>183667.40000000002</v>
      </c>
      <c r="I70" s="930">
        <f t="shared" si="3"/>
        <v>183667.40000000002</v>
      </c>
      <c r="J70" s="943"/>
    </row>
    <row r="71" spans="1:16362" s="405" customFormat="1" ht="18" customHeight="1">
      <c r="A71" s="931"/>
      <c r="B71" s="931"/>
      <c r="C71" s="935" t="s">
        <v>1425</v>
      </c>
      <c r="D71" s="935"/>
      <c r="E71" s="935"/>
      <c r="F71" s="931"/>
      <c r="G71" s="934"/>
      <c r="H71" s="930"/>
      <c r="I71" s="930"/>
      <c r="J71" s="943"/>
    </row>
    <row r="72" spans="1:16362" s="405" customFormat="1" ht="18" customHeight="1">
      <c r="A72" s="931"/>
      <c r="B72" s="931"/>
      <c r="C72" s="935" t="s">
        <v>1409</v>
      </c>
      <c r="D72" s="935"/>
      <c r="E72" s="935"/>
      <c r="F72" s="931"/>
      <c r="G72" s="934"/>
      <c r="H72" s="930"/>
      <c r="I72" s="930"/>
      <c r="J72" s="943"/>
    </row>
    <row r="73" spans="1:16362" s="405" customFormat="1" ht="18" customHeight="1">
      <c r="A73" s="931"/>
      <c r="B73" s="931"/>
      <c r="C73" s="935" t="s">
        <v>1410</v>
      </c>
      <c r="D73" s="935"/>
      <c r="E73" s="935"/>
      <c r="F73" s="931"/>
      <c r="G73" s="934"/>
      <c r="H73" s="930"/>
      <c r="I73" s="930"/>
      <c r="J73" s="943"/>
    </row>
    <row r="74" spans="1:16362" s="420" customFormat="1" ht="18" customHeight="1">
      <c r="A74" s="931"/>
      <c r="B74" s="931"/>
      <c r="C74" s="935" t="s">
        <v>1412</v>
      </c>
      <c r="D74" s="935"/>
      <c r="E74" s="935"/>
      <c r="F74" s="931"/>
      <c r="G74" s="934"/>
      <c r="H74" s="930"/>
      <c r="I74" s="930"/>
      <c r="J74" s="943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931"/>
      <c r="B75" s="931"/>
      <c r="C75" s="935" t="s">
        <v>1415</v>
      </c>
      <c r="D75" s="935"/>
      <c r="E75" s="935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943"/>
    </row>
    <row r="76" spans="1:16362" s="405" customFormat="1" ht="18" customHeight="1">
      <c r="A76" s="931"/>
      <c r="B76" s="931"/>
      <c r="C76" s="933" t="s">
        <v>1427</v>
      </c>
      <c r="D76" s="933"/>
      <c r="E76" s="933"/>
      <c r="F76" s="411"/>
      <c r="G76" s="409"/>
      <c r="H76" s="409"/>
      <c r="I76" s="415">
        <f>I70+I72+I75+I73+I71</f>
        <v>237667.40000000002</v>
      </c>
      <c r="J76" s="943"/>
    </row>
    <row r="77" spans="1:16362" s="405" customFormat="1" ht="18" customHeight="1">
      <c r="A77" s="411"/>
      <c r="B77" s="411"/>
      <c r="C77" s="933" t="s">
        <v>1428</v>
      </c>
      <c r="D77" s="933"/>
      <c r="E77" s="933"/>
      <c r="F77" s="411"/>
      <c r="G77" s="409"/>
      <c r="H77" s="409"/>
      <c r="I77" s="415">
        <f>I69+I76</f>
        <v>2074341.4</v>
      </c>
      <c r="J77" s="943"/>
    </row>
    <row r="78" spans="1:16362" s="405" customFormat="1" ht="18" customHeight="1">
      <c r="A78" s="931">
        <v>4</v>
      </c>
      <c r="B78" s="931" t="s">
        <v>1063</v>
      </c>
      <c r="C78" s="411" t="s">
        <v>1430</v>
      </c>
      <c r="D78" s="931" t="s">
        <v>1478</v>
      </c>
      <c r="E78" s="931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932">
        <f>ROUND(I85*0.8,0)</f>
        <v>217360</v>
      </c>
    </row>
    <row r="79" spans="1:16362" s="410" customFormat="1" ht="18" customHeight="1">
      <c r="A79" s="933"/>
      <c r="B79" s="933"/>
      <c r="C79" s="933" t="s">
        <v>1424</v>
      </c>
      <c r="D79" s="933"/>
      <c r="E79" s="933"/>
      <c r="F79" s="414"/>
      <c r="G79" s="409"/>
      <c r="H79" s="409"/>
      <c r="I79" s="415">
        <f>SUM(I78:I78)</f>
        <v>247000</v>
      </c>
      <c r="J79" s="943"/>
      <c r="XEH79" s="416"/>
    </row>
    <row r="80" spans="1:16362" s="405" customFormat="1" ht="18" customHeight="1">
      <c r="A80" s="931"/>
      <c r="B80" s="931"/>
      <c r="C80" s="935" t="s">
        <v>1408</v>
      </c>
      <c r="D80" s="935"/>
      <c r="E80" s="935"/>
      <c r="F80" s="931" t="s">
        <v>1376</v>
      </c>
      <c r="G80" s="934">
        <v>1</v>
      </c>
      <c r="H80" s="930">
        <f>I79*0.1</f>
        <v>24700</v>
      </c>
      <c r="I80" s="930">
        <f t="shared" si="4"/>
        <v>24700</v>
      </c>
      <c r="J80" s="943"/>
    </row>
    <row r="81" spans="1:10" s="405" customFormat="1" ht="18" customHeight="1">
      <c r="A81" s="931"/>
      <c r="B81" s="931"/>
      <c r="C81" s="935" t="s">
        <v>1425</v>
      </c>
      <c r="D81" s="935"/>
      <c r="E81" s="935"/>
      <c r="F81" s="931"/>
      <c r="G81" s="934"/>
      <c r="H81" s="930"/>
      <c r="I81" s="930"/>
      <c r="J81" s="943"/>
    </row>
    <row r="82" spans="1:10" s="405" customFormat="1" ht="18" customHeight="1">
      <c r="A82" s="931"/>
      <c r="B82" s="931"/>
      <c r="C82" s="935" t="s">
        <v>1409</v>
      </c>
      <c r="D82" s="935"/>
      <c r="E82" s="935"/>
      <c r="F82" s="931"/>
      <c r="G82" s="934"/>
      <c r="H82" s="930"/>
      <c r="I82" s="930"/>
      <c r="J82" s="943"/>
    </row>
    <row r="83" spans="1:10" s="405" customFormat="1" ht="18" customHeight="1">
      <c r="A83" s="931"/>
      <c r="B83" s="931"/>
      <c r="C83" s="935" t="s">
        <v>1410</v>
      </c>
      <c r="D83" s="935"/>
      <c r="E83" s="935"/>
      <c r="F83" s="931"/>
      <c r="G83" s="934"/>
      <c r="H83" s="930"/>
      <c r="I83" s="930"/>
      <c r="J83" s="943"/>
    </row>
    <row r="84" spans="1:10" s="405" customFormat="1" ht="18" customHeight="1">
      <c r="A84" s="931"/>
      <c r="B84" s="931"/>
      <c r="C84" s="933" t="s">
        <v>1427</v>
      </c>
      <c r="D84" s="933"/>
      <c r="E84" s="933"/>
      <c r="F84" s="411"/>
      <c r="G84" s="409"/>
      <c r="H84" s="409"/>
      <c r="I84" s="415">
        <f>I80+I81+I82+I83</f>
        <v>24700</v>
      </c>
      <c r="J84" s="943"/>
    </row>
    <row r="85" spans="1:10" s="405" customFormat="1" ht="18" customHeight="1">
      <c r="A85" s="411"/>
      <c r="B85" s="411"/>
      <c r="C85" s="933" t="s">
        <v>1428</v>
      </c>
      <c r="D85" s="933"/>
      <c r="E85" s="933"/>
      <c r="F85" s="411"/>
      <c r="G85" s="409"/>
      <c r="H85" s="409"/>
      <c r="I85" s="415">
        <f>SUM(I79,I84)</f>
        <v>271700</v>
      </c>
      <c r="J85" s="943"/>
    </row>
    <row r="86" spans="1:10" s="405" customFormat="1" ht="18" customHeight="1">
      <c r="A86" s="936">
        <v>5</v>
      </c>
      <c r="B86" s="931" t="s">
        <v>1480</v>
      </c>
      <c r="C86" s="931" t="s">
        <v>1481</v>
      </c>
      <c r="D86" s="931" t="s">
        <v>1482</v>
      </c>
      <c r="E86" s="931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932">
        <f>ROUND(I121*0.8,0)</f>
        <v>413029</v>
      </c>
    </row>
    <row r="87" spans="1:10" s="405" customFormat="1" ht="18" customHeight="1">
      <c r="A87" s="936"/>
      <c r="B87" s="931"/>
      <c r="C87" s="931"/>
      <c r="D87" s="931" t="s">
        <v>1483</v>
      </c>
      <c r="E87" s="931"/>
      <c r="F87" s="411" t="s">
        <v>1388</v>
      </c>
      <c r="G87" s="424">
        <v>35</v>
      </c>
      <c r="H87" s="412">
        <v>570</v>
      </c>
      <c r="I87" s="412">
        <f>G87*H87</f>
        <v>19950</v>
      </c>
      <c r="J87" s="943"/>
    </row>
    <row r="88" spans="1:10" s="405" customFormat="1" ht="18" customHeight="1">
      <c r="A88" s="936"/>
      <c r="B88" s="931"/>
      <c r="C88" s="931"/>
      <c r="D88" s="931" t="s">
        <v>1484</v>
      </c>
      <c r="E88" s="931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943"/>
    </row>
    <row r="89" spans="1:10" s="405" customFormat="1" ht="18" customHeight="1">
      <c r="A89" s="936"/>
      <c r="B89" s="931"/>
      <c r="C89" s="931"/>
      <c r="D89" s="931" t="s">
        <v>1486</v>
      </c>
      <c r="E89" s="931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943"/>
    </row>
    <row r="90" spans="1:10" s="405" customFormat="1" ht="18" customHeight="1">
      <c r="A90" s="936"/>
      <c r="B90" s="931"/>
      <c r="C90" s="931"/>
      <c r="D90" s="931" t="s">
        <v>1487</v>
      </c>
      <c r="E90" s="931"/>
      <c r="F90" s="425" t="s">
        <v>1388</v>
      </c>
      <c r="G90" s="424">
        <v>21</v>
      </c>
      <c r="H90" s="412">
        <v>570</v>
      </c>
      <c r="I90" s="412">
        <f>G90*H90</f>
        <v>11970</v>
      </c>
      <c r="J90" s="943"/>
    </row>
    <row r="91" spans="1:10" s="405" customFormat="1" ht="18" customHeight="1">
      <c r="A91" s="936"/>
      <c r="B91" s="931"/>
      <c r="C91" s="931"/>
      <c r="D91" s="931" t="s">
        <v>1488</v>
      </c>
      <c r="E91" s="931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943"/>
    </row>
    <row r="92" spans="1:10" s="405" customFormat="1" ht="18" customHeight="1">
      <c r="A92" s="936"/>
      <c r="B92" s="931"/>
      <c r="C92" s="931" t="s">
        <v>1489</v>
      </c>
      <c r="D92" s="931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943"/>
    </row>
    <row r="93" spans="1:10" s="405" customFormat="1" ht="18" customHeight="1">
      <c r="A93" s="936"/>
      <c r="B93" s="931"/>
      <c r="C93" s="931"/>
      <c r="D93" s="931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943"/>
    </row>
    <row r="94" spans="1:10" s="405" customFormat="1" ht="18" customHeight="1">
      <c r="A94" s="936"/>
      <c r="B94" s="931"/>
      <c r="C94" s="931"/>
      <c r="D94" s="931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943"/>
    </row>
    <row r="95" spans="1:10" s="405" customFormat="1" ht="18" customHeight="1">
      <c r="A95" s="936"/>
      <c r="B95" s="931"/>
      <c r="C95" s="931"/>
      <c r="D95" s="931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943"/>
    </row>
    <row r="96" spans="1:10" s="405" customFormat="1" ht="18" customHeight="1">
      <c r="A96" s="936"/>
      <c r="B96" s="931"/>
      <c r="C96" s="931"/>
      <c r="D96" s="931" t="s">
        <v>1494</v>
      </c>
      <c r="E96" s="931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943"/>
    </row>
    <row r="97" spans="1:10" s="405" customFormat="1" ht="18" customHeight="1">
      <c r="A97" s="936"/>
      <c r="B97" s="931"/>
      <c r="C97" s="931"/>
      <c r="D97" s="931" t="s">
        <v>1495</v>
      </c>
      <c r="E97" s="931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943"/>
    </row>
    <row r="98" spans="1:10" s="405" customFormat="1" ht="18" customHeight="1">
      <c r="A98" s="936"/>
      <c r="B98" s="931"/>
      <c r="C98" s="931"/>
      <c r="D98" s="931" t="s">
        <v>1496</v>
      </c>
      <c r="E98" s="931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943"/>
    </row>
    <row r="99" spans="1:10" s="405" customFormat="1" ht="18" customHeight="1">
      <c r="A99" s="936"/>
      <c r="B99" s="931"/>
      <c r="C99" s="931"/>
      <c r="D99" s="931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943"/>
    </row>
    <row r="100" spans="1:10" s="405" customFormat="1" ht="18" customHeight="1">
      <c r="A100" s="936"/>
      <c r="B100" s="931"/>
      <c r="C100" s="931"/>
      <c r="D100" s="931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943"/>
    </row>
    <row r="101" spans="1:10" s="405" customFormat="1" ht="18" customHeight="1">
      <c r="A101" s="936"/>
      <c r="B101" s="931"/>
      <c r="C101" s="931"/>
      <c r="D101" s="931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943"/>
    </row>
    <row r="102" spans="1:10" s="405" customFormat="1" ht="18" customHeight="1">
      <c r="A102" s="936"/>
      <c r="B102" s="931"/>
      <c r="C102" s="931"/>
      <c r="D102" s="931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943"/>
    </row>
    <row r="103" spans="1:10" s="405" customFormat="1" ht="18" customHeight="1">
      <c r="A103" s="936"/>
      <c r="B103" s="931"/>
      <c r="C103" s="931"/>
      <c r="D103" s="931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943"/>
    </row>
    <row r="104" spans="1:10" s="405" customFormat="1" ht="18" customHeight="1">
      <c r="A104" s="936"/>
      <c r="B104" s="931"/>
      <c r="C104" s="931"/>
      <c r="D104" s="931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943"/>
    </row>
    <row r="105" spans="1:10" s="405" customFormat="1" ht="18" customHeight="1">
      <c r="A105" s="936"/>
      <c r="B105" s="931"/>
      <c r="C105" s="931"/>
      <c r="D105" s="931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943"/>
    </row>
    <row r="106" spans="1:10" s="405" customFormat="1" ht="18" customHeight="1">
      <c r="A106" s="936"/>
      <c r="B106" s="931"/>
      <c r="C106" s="931"/>
      <c r="D106" s="931" t="s">
        <v>1506</v>
      </c>
      <c r="E106" s="931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943"/>
    </row>
    <row r="107" spans="1:10" s="405" customFormat="1" ht="18" customHeight="1">
      <c r="A107" s="936"/>
      <c r="B107" s="931"/>
      <c r="C107" s="931" t="s">
        <v>1507</v>
      </c>
      <c r="D107" s="931" t="s">
        <v>1508</v>
      </c>
      <c r="E107" s="931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943"/>
    </row>
    <row r="108" spans="1:10" s="405" customFormat="1" ht="18" customHeight="1">
      <c r="A108" s="936"/>
      <c r="B108" s="931"/>
      <c r="C108" s="931"/>
      <c r="D108" s="931" t="s">
        <v>1509</v>
      </c>
      <c r="E108" s="931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943"/>
    </row>
    <row r="109" spans="1:10" s="405" customFormat="1" ht="18" customHeight="1">
      <c r="A109" s="936"/>
      <c r="B109" s="931"/>
      <c r="C109" s="931"/>
      <c r="D109" s="931" t="s">
        <v>1510</v>
      </c>
      <c r="E109" s="931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943"/>
    </row>
    <row r="110" spans="1:10" s="405" customFormat="1" ht="18" customHeight="1">
      <c r="A110" s="936"/>
      <c r="B110" s="931"/>
      <c r="C110" s="931" t="s">
        <v>1511</v>
      </c>
      <c r="D110" s="936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943"/>
    </row>
    <row r="111" spans="1:10" s="405" customFormat="1" ht="18" customHeight="1">
      <c r="A111" s="936"/>
      <c r="B111" s="931"/>
      <c r="C111" s="931"/>
      <c r="D111" s="936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943"/>
    </row>
    <row r="112" spans="1:10" s="405" customFormat="1" ht="18" customHeight="1">
      <c r="A112" s="936"/>
      <c r="B112" s="931"/>
      <c r="C112" s="931"/>
      <c r="D112" s="936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943"/>
    </row>
    <row r="113" spans="1:10 16362:16362" s="405" customFormat="1" ht="18" customHeight="1">
      <c r="A113" s="936"/>
      <c r="B113" s="931"/>
      <c r="C113" s="931"/>
      <c r="D113" s="936" t="s">
        <v>1515</v>
      </c>
      <c r="E113" s="936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943"/>
    </row>
    <row r="114" spans="1:10 16362:16362" s="405" customFormat="1" ht="18" customHeight="1">
      <c r="A114" s="936"/>
      <c r="B114" s="931"/>
      <c r="C114" s="931"/>
      <c r="D114" s="936" t="s">
        <v>1516</v>
      </c>
      <c r="E114" s="936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943"/>
    </row>
    <row r="115" spans="1:10 16362:16362" s="410" customFormat="1" ht="18" customHeight="1">
      <c r="A115" s="932"/>
      <c r="B115" s="933"/>
      <c r="C115" s="933" t="s">
        <v>1424</v>
      </c>
      <c r="D115" s="933"/>
      <c r="E115" s="933"/>
      <c r="F115" s="414"/>
      <c r="G115" s="409"/>
      <c r="H115" s="409"/>
      <c r="I115" s="415">
        <f>SUM(I86:I114)</f>
        <v>469351.03</v>
      </c>
      <c r="J115" s="943"/>
      <c r="XEH115" s="416"/>
    </row>
    <row r="116" spans="1:10 16362:16362" s="405" customFormat="1" ht="18" customHeight="1">
      <c r="A116" s="936"/>
      <c r="B116" s="931"/>
      <c r="C116" s="935" t="s">
        <v>1408</v>
      </c>
      <c r="D116" s="935"/>
      <c r="E116" s="935"/>
      <c r="F116" s="931" t="s">
        <v>1376</v>
      </c>
      <c r="G116" s="934">
        <v>1</v>
      </c>
      <c r="H116" s="937">
        <f>I115*0.1</f>
        <v>46935.103000000003</v>
      </c>
      <c r="I116" s="937">
        <f>G116*H116</f>
        <v>46935.103000000003</v>
      </c>
      <c r="J116" s="943"/>
    </row>
    <row r="117" spans="1:10 16362:16362" s="405" customFormat="1" ht="18" customHeight="1">
      <c r="A117" s="936"/>
      <c r="B117" s="931"/>
      <c r="C117" s="935" t="s">
        <v>1425</v>
      </c>
      <c r="D117" s="935"/>
      <c r="E117" s="935"/>
      <c r="F117" s="931"/>
      <c r="G117" s="934"/>
      <c r="H117" s="937"/>
      <c r="I117" s="938"/>
      <c r="J117" s="943"/>
    </row>
    <row r="118" spans="1:10 16362:16362" s="405" customFormat="1" ht="18" customHeight="1">
      <c r="A118" s="936"/>
      <c r="B118" s="931"/>
      <c r="C118" s="935" t="s">
        <v>1409</v>
      </c>
      <c r="D118" s="935"/>
      <c r="E118" s="935"/>
      <c r="F118" s="931"/>
      <c r="G118" s="934"/>
      <c r="H118" s="937"/>
      <c r="I118" s="938"/>
      <c r="J118" s="943"/>
    </row>
    <row r="119" spans="1:10 16362:16362" s="405" customFormat="1" ht="18" customHeight="1">
      <c r="A119" s="936"/>
      <c r="B119" s="931"/>
      <c r="C119" s="935" t="s">
        <v>1410</v>
      </c>
      <c r="D119" s="935"/>
      <c r="E119" s="935"/>
      <c r="F119" s="931"/>
      <c r="G119" s="934"/>
      <c r="H119" s="937"/>
      <c r="I119" s="938"/>
      <c r="J119" s="943"/>
    </row>
    <row r="120" spans="1:10 16362:16362" s="405" customFormat="1" ht="18" customHeight="1">
      <c r="A120" s="936"/>
      <c r="B120" s="931"/>
      <c r="C120" s="933" t="s">
        <v>1427</v>
      </c>
      <c r="D120" s="933"/>
      <c r="E120" s="933"/>
      <c r="F120" s="411"/>
      <c r="G120" s="409"/>
      <c r="H120" s="409"/>
      <c r="I120" s="415">
        <f>SUM(I116:I119)</f>
        <v>46935.103000000003</v>
      </c>
      <c r="J120" s="943"/>
    </row>
    <row r="121" spans="1:10 16362:16362" s="405" customFormat="1" ht="18" customHeight="1">
      <c r="A121" s="407"/>
      <c r="B121" s="411"/>
      <c r="C121" s="933" t="s">
        <v>1428</v>
      </c>
      <c r="D121" s="933"/>
      <c r="E121" s="933"/>
      <c r="F121" s="411"/>
      <c r="G121" s="409"/>
      <c r="H121" s="409"/>
      <c r="I121" s="415">
        <f>I115+I120</f>
        <v>516286.13300000003</v>
      </c>
      <c r="J121" s="943"/>
    </row>
    <row r="122" spans="1:10 16362:16362" s="405" customFormat="1" ht="18" customHeight="1">
      <c r="A122" s="931">
        <v>6</v>
      </c>
      <c r="B122" s="931" t="s">
        <v>1517</v>
      </c>
      <c r="C122" s="931" t="s">
        <v>1518</v>
      </c>
      <c r="D122" s="931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932">
        <f>ROUND(I147*0.8,0)</f>
        <v>728312</v>
      </c>
    </row>
    <row r="123" spans="1:10 16362:16362" s="405" customFormat="1" ht="18" customHeight="1">
      <c r="A123" s="931"/>
      <c r="B123" s="931"/>
      <c r="C123" s="931"/>
      <c r="D123" s="931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943"/>
    </row>
    <row r="124" spans="1:10 16362:16362" s="405" customFormat="1" ht="18" customHeight="1">
      <c r="A124" s="931"/>
      <c r="B124" s="931"/>
      <c r="C124" s="931"/>
      <c r="D124" s="931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943"/>
    </row>
    <row r="125" spans="1:10 16362:16362" s="405" customFormat="1" ht="18" customHeight="1">
      <c r="A125" s="931"/>
      <c r="B125" s="931"/>
      <c r="C125" s="931"/>
      <c r="D125" s="931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943"/>
    </row>
    <row r="126" spans="1:10 16362:16362" s="405" customFormat="1" ht="18" customHeight="1">
      <c r="A126" s="931"/>
      <c r="B126" s="931"/>
      <c r="C126" s="931"/>
      <c r="D126" s="931" t="s">
        <v>1522</v>
      </c>
      <c r="E126" s="931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943"/>
    </row>
    <row r="127" spans="1:10 16362:16362" s="405" customFormat="1" ht="18" customHeight="1">
      <c r="A127" s="931"/>
      <c r="B127" s="931"/>
      <c r="C127" s="931"/>
      <c r="D127" s="931" t="s">
        <v>1523</v>
      </c>
      <c r="E127" s="931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943"/>
    </row>
    <row r="128" spans="1:10 16362:16362" s="405" customFormat="1" ht="18" customHeight="1">
      <c r="A128" s="931"/>
      <c r="B128" s="931"/>
      <c r="C128" s="931"/>
      <c r="D128" s="931" t="s">
        <v>1524</v>
      </c>
      <c r="E128" s="931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943"/>
    </row>
    <row r="129" spans="1:10 16362:16362" s="405" customFormat="1" ht="18" customHeight="1">
      <c r="A129" s="931"/>
      <c r="B129" s="931"/>
      <c r="C129" s="931" t="s">
        <v>1526</v>
      </c>
      <c r="D129" s="931" t="s">
        <v>1527</v>
      </c>
      <c r="E129" s="931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943"/>
    </row>
    <row r="130" spans="1:10 16362:16362" s="405" customFormat="1" ht="18" customHeight="1">
      <c r="A130" s="931"/>
      <c r="B130" s="931"/>
      <c r="C130" s="931"/>
      <c r="D130" s="931" t="s">
        <v>1528</v>
      </c>
      <c r="E130" s="931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943"/>
    </row>
    <row r="131" spans="1:10 16362:16362" s="405" customFormat="1" ht="18" customHeight="1">
      <c r="A131" s="931"/>
      <c r="B131" s="931"/>
      <c r="C131" s="931"/>
      <c r="D131" s="931" t="s">
        <v>1477</v>
      </c>
      <c r="E131" s="931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943"/>
    </row>
    <row r="132" spans="1:10 16362:16362" s="405" customFormat="1" ht="18" customHeight="1">
      <c r="A132" s="931"/>
      <c r="B132" s="931"/>
      <c r="C132" s="931" t="s">
        <v>281</v>
      </c>
      <c r="D132" s="931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943"/>
    </row>
    <row r="133" spans="1:10 16362:16362" s="405" customFormat="1" ht="18" customHeight="1">
      <c r="A133" s="931"/>
      <c r="B133" s="931"/>
      <c r="C133" s="931"/>
      <c r="D133" s="931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943"/>
    </row>
    <row r="134" spans="1:10 16362:16362" s="405" customFormat="1" ht="18" customHeight="1">
      <c r="A134" s="931"/>
      <c r="B134" s="931"/>
      <c r="C134" s="931"/>
      <c r="D134" s="931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943"/>
    </row>
    <row r="135" spans="1:10 16362:16362" s="405" customFormat="1" ht="18" customHeight="1">
      <c r="A135" s="931"/>
      <c r="B135" s="931"/>
      <c r="C135" s="931"/>
      <c r="D135" s="931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943"/>
    </row>
    <row r="136" spans="1:10 16362:16362" s="405" customFormat="1" ht="18" customHeight="1">
      <c r="A136" s="931"/>
      <c r="B136" s="931"/>
      <c r="C136" s="931"/>
      <c r="D136" s="931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943"/>
    </row>
    <row r="137" spans="1:10 16362:16362" s="405" customFormat="1" ht="18" customHeight="1">
      <c r="A137" s="931"/>
      <c r="B137" s="931"/>
      <c r="C137" s="931"/>
      <c r="D137" s="931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943"/>
    </row>
    <row r="138" spans="1:10 16362:16362" s="405" customFormat="1" ht="18" customHeight="1">
      <c r="A138" s="931"/>
      <c r="B138" s="931"/>
      <c r="C138" s="931"/>
      <c r="D138" s="931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943"/>
    </row>
    <row r="139" spans="1:10 16362:16362" s="405" customFormat="1" ht="18" customHeight="1">
      <c r="A139" s="931"/>
      <c r="B139" s="931"/>
      <c r="C139" s="931"/>
      <c r="D139" s="931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943"/>
    </row>
    <row r="140" spans="1:10 16362:16362" s="410" customFormat="1" ht="18" customHeight="1">
      <c r="A140" s="933"/>
      <c r="B140" s="933"/>
      <c r="C140" s="933" t="s">
        <v>1424</v>
      </c>
      <c r="D140" s="933"/>
      <c r="E140" s="933"/>
      <c r="F140" s="414"/>
      <c r="G140" s="409"/>
      <c r="H140" s="409"/>
      <c r="I140" s="415">
        <f>SUM(I122:I139)</f>
        <v>645808.98999999987</v>
      </c>
      <c r="J140" s="943"/>
      <c r="XEH140" s="416"/>
    </row>
    <row r="141" spans="1:10 16362:16362" s="405" customFormat="1" ht="18" customHeight="1">
      <c r="A141" s="931"/>
      <c r="B141" s="931"/>
      <c r="C141" s="935" t="s">
        <v>1408</v>
      </c>
      <c r="D141" s="935"/>
      <c r="E141" s="935"/>
      <c r="F141" s="931" t="s">
        <v>1376</v>
      </c>
      <c r="G141" s="934">
        <v>1</v>
      </c>
      <c r="H141" s="930">
        <f>I140*0.1</f>
        <v>64580.89899999999</v>
      </c>
      <c r="I141" s="936">
        <f>G141*H141</f>
        <v>64580.89899999999</v>
      </c>
      <c r="J141" s="943"/>
    </row>
    <row r="142" spans="1:10 16362:16362" s="405" customFormat="1" ht="18" customHeight="1">
      <c r="A142" s="931"/>
      <c r="B142" s="931"/>
      <c r="C142" s="935" t="s">
        <v>1425</v>
      </c>
      <c r="D142" s="935"/>
      <c r="E142" s="935"/>
      <c r="F142" s="931"/>
      <c r="G142" s="934"/>
      <c r="H142" s="930"/>
      <c r="I142" s="936"/>
      <c r="J142" s="943"/>
    </row>
    <row r="143" spans="1:10 16362:16362" s="405" customFormat="1" ht="18" customHeight="1">
      <c r="A143" s="931"/>
      <c r="B143" s="931"/>
      <c r="C143" s="935" t="s">
        <v>1409</v>
      </c>
      <c r="D143" s="935"/>
      <c r="E143" s="935"/>
      <c r="F143" s="931"/>
      <c r="G143" s="934"/>
      <c r="H143" s="930"/>
      <c r="I143" s="936"/>
      <c r="J143" s="943"/>
    </row>
    <row r="144" spans="1:10 16362:16362" s="405" customFormat="1" ht="18" customHeight="1">
      <c r="A144" s="931"/>
      <c r="B144" s="931"/>
      <c r="C144" s="935" t="s">
        <v>1410</v>
      </c>
      <c r="D144" s="935"/>
      <c r="E144" s="935"/>
      <c r="F144" s="931"/>
      <c r="G144" s="934"/>
      <c r="H144" s="930"/>
      <c r="I144" s="936"/>
      <c r="J144" s="943"/>
    </row>
    <row r="145" spans="1:10 16362:16362" s="405" customFormat="1" ht="18" customHeight="1">
      <c r="A145" s="931"/>
      <c r="B145" s="931"/>
      <c r="C145" s="935" t="s">
        <v>1534</v>
      </c>
      <c r="D145" s="935"/>
      <c r="E145" s="935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943"/>
    </row>
    <row r="146" spans="1:10 16362:16362" s="405" customFormat="1" ht="18" customHeight="1">
      <c r="A146" s="931"/>
      <c r="B146" s="931"/>
      <c r="C146" s="933" t="s">
        <v>1427</v>
      </c>
      <c r="D146" s="933"/>
      <c r="E146" s="933"/>
      <c r="F146" s="411"/>
      <c r="G146" s="409"/>
      <c r="H146" s="409"/>
      <c r="I146" s="409">
        <f>SUM(I141:I145)</f>
        <v>264580.89899999998</v>
      </c>
      <c r="J146" s="943"/>
    </row>
    <row r="147" spans="1:10 16362:16362" s="405" customFormat="1" ht="18" customHeight="1">
      <c r="A147" s="411"/>
      <c r="B147" s="411"/>
      <c r="C147" s="933" t="s">
        <v>1428</v>
      </c>
      <c r="D147" s="933"/>
      <c r="E147" s="933"/>
      <c r="F147" s="411"/>
      <c r="G147" s="409"/>
      <c r="H147" s="409"/>
      <c r="I147" s="409">
        <f>SUM(I146,I140)</f>
        <v>910389.88899999985</v>
      </c>
      <c r="J147" s="943"/>
    </row>
    <row r="148" spans="1:10 16362:16362" s="405" customFormat="1" ht="18" customHeight="1">
      <c r="A148" s="931">
        <v>7</v>
      </c>
      <c r="B148" s="931" t="s">
        <v>1535</v>
      </c>
      <c r="C148" s="931" t="s">
        <v>1421</v>
      </c>
      <c r="D148" s="931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932">
        <f>ROUND(I158*0.8,0)</f>
        <v>544734</v>
      </c>
      <c r="XEH148" s="406"/>
    </row>
    <row r="149" spans="1:10 16362:16362" s="405" customFormat="1" ht="18" customHeight="1">
      <c r="A149" s="931"/>
      <c r="B149" s="931"/>
      <c r="C149" s="931"/>
      <c r="D149" s="931"/>
      <c r="E149" s="422" t="s">
        <v>1538</v>
      </c>
      <c r="F149" s="411" t="s">
        <v>1372</v>
      </c>
      <c r="G149" s="937">
        <v>2006.5</v>
      </c>
      <c r="H149" s="937">
        <v>285</v>
      </c>
      <c r="I149" s="937">
        <v>571852.5</v>
      </c>
      <c r="J149" s="932"/>
      <c r="XEH149" s="406"/>
    </row>
    <row r="150" spans="1:10 16362:16362" s="405" customFormat="1" ht="18" customHeight="1">
      <c r="A150" s="931"/>
      <c r="B150" s="931"/>
      <c r="C150" s="931"/>
      <c r="D150" s="931"/>
      <c r="E150" s="422" t="s">
        <v>1539</v>
      </c>
      <c r="F150" s="411" t="s">
        <v>1372</v>
      </c>
      <c r="G150" s="938"/>
      <c r="H150" s="938"/>
      <c r="I150" s="938"/>
      <c r="J150" s="932"/>
      <c r="XEH150" s="406"/>
    </row>
    <row r="151" spans="1:10 16362:16362" s="405" customFormat="1" ht="18" customHeight="1">
      <c r="A151" s="931"/>
      <c r="B151" s="931"/>
      <c r="C151" s="933" t="s">
        <v>1424</v>
      </c>
      <c r="D151" s="933"/>
      <c r="E151" s="933"/>
      <c r="F151" s="411"/>
      <c r="G151" s="409"/>
      <c r="H151" s="409"/>
      <c r="I151" s="409">
        <f>SUM(I148:I149)</f>
        <v>591743.34</v>
      </c>
      <c r="J151" s="932"/>
      <c r="XEH151" s="406"/>
    </row>
    <row r="152" spans="1:10 16362:16362" s="405" customFormat="1" ht="18" customHeight="1">
      <c r="A152" s="931"/>
      <c r="B152" s="931"/>
      <c r="C152" s="939" t="s">
        <v>1408</v>
      </c>
      <c r="D152" s="939"/>
      <c r="E152" s="939"/>
      <c r="F152" s="411" t="s">
        <v>1376</v>
      </c>
      <c r="G152" s="937">
        <v>1</v>
      </c>
      <c r="H152" s="937">
        <f>I151*0.1</f>
        <v>59174.334000000003</v>
      </c>
      <c r="I152" s="937">
        <f>G152*H152</f>
        <v>59174.334000000003</v>
      </c>
      <c r="J152" s="932"/>
      <c r="XEH152" s="406"/>
    </row>
    <row r="153" spans="1:10 16362:16362" s="405" customFormat="1" ht="18" customHeight="1">
      <c r="A153" s="931"/>
      <c r="B153" s="931"/>
      <c r="C153" s="939" t="s">
        <v>1425</v>
      </c>
      <c r="D153" s="939"/>
      <c r="E153" s="939"/>
      <c r="F153" s="411" t="s">
        <v>1376</v>
      </c>
      <c r="G153" s="937"/>
      <c r="H153" s="937"/>
      <c r="I153" s="937"/>
      <c r="J153" s="932"/>
      <c r="XEH153" s="406"/>
    </row>
    <row r="154" spans="1:10 16362:16362" s="405" customFormat="1" ht="18" customHeight="1">
      <c r="A154" s="931"/>
      <c r="B154" s="931"/>
      <c r="C154" s="939" t="s">
        <v>1409</v>
      </c>
      <c r="D154" s="939"/>
      <c r="E154" s="939"/>
      <c r="F154" s="411" t="s">
        <v>1376</v>
      </c>
      <c r="G154" s="937"/>
      <c r="H154" s="937"/>
      <c r="I154" s="937"/>
      <c r="J154" s="932"/>
      <c r="XEH154" s="406"/>
    </row>
    <row r="155" spans="1:10 16362:16362" s="405" customFormat="1" ht="18" customHeight="1">
      <c r="A155" s="931"/>
      <c r="B155" s="931"/>
      <c r="C155" s="939" t="s">
        <v>1410</v>
      </c>
      <c r="D155" s="939"/>
      <c r="E155" s="939"/>
      <c r="F155" s="411" t="s">
        <v>1376</v>
      </c>
      <c r="G155" s="937"/>
      <c r="H155" s="937"/>
      <c r="I155" s="937"/>
      <c r="J155" s="932"/>
      <c r="XEH155" s="406"/>
    </row>
    <row r="156" spans="1:10 16362:16362" s="405" customFormat="1" ht="18" customHeight="1">
      <c r="A156" s="931"/>
      <c r="B156" s="931"/>
      <c r="C156" s="939" t="s">
        <v>1426</v>
      </c>
      <c r="D156" s="939"/>
      <c r="E156" s="939"/>
      <c r="F156" s="411" t="s">
        <v>1376</v>
      </c>
      <c r="G156" s="412">
        <v>1</v>
      </c>
      <c r="H156" s="412">
        <v>30000</v>
      </c>
      <c r="I156" s="412">
        <v>30000</v>
      </c>
      <c r="J156" s="932"/>
      <c r="XEH156" s="406"/>
    </row>
    <row r="157" spans="1:10 16362:16362" s="405" customFormat="1" ht="18" customHeight="1">
      <c r="A157" s="931"/>
      <c r="B157" s="931"/>
      <c r="C157" s="933" t="s">
        <v>1427</v>
      </c>
      <c r="D157" s="933"/>
      <c r="E157" s="933"/>
      <c r="F157" s="409"/>
      <c r="G157" s="409"/>
      <c r="H157" s="409"/>
      <c r="I157" s="409">
        <f>SUM(I152:I156)</f>
        <v>89174.334000000003</v>
      </c>
      <c r="J157" s="932"/>
      <c r="XEH157" s="406"/>
    </row>
    <row r="158" spans="1:10 16362:16362" s="405" customFormat="1" ht="18" customHeight="1">
      <c r="A158" s="411"/>
      <c r="B158" s="411"/>
      <c r="C158" s="933" t="s">
        <v>1428</v>
      </c>
      <c r="D158" s="933"/>
      <c r="E158" s="933"/>
      <c r="F158" s="409"/>
      <c r="G158" s="409"/>
      <c r="H158" s="409"/>
      <c r="I158" s="409">
        <f>I151+I157</f>
        <v>680917.674</v>
      </c>
      <c r="J158" s="932"/>
      <c r="XEH158" s="406"/>
    </row>
    <row r="159" spans="1:10 16362:16362" ht="18" customHeight="1">
      <c r="A159" s="422"/>
      <c r="B159" s="422"/>
      <c r="C159" s="940" t="s">
        <v>1540</v>
      </c>
      <c r="D159" s="940"/>
      <c r="E159" s="940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941" t="s">
        <v>1585</v>
      </c>
      <c r="B1" s="941"/>
      <c r="C1" s="941"/>
      <c r="D1" s="941"/>
      <c r="E1" s="941"/>
      <c r="F1" s="941"/>
      <c r="G1" s="941"/>
      <c r="H1" s="941"/>
      <c r="I1" s="941"/>
      <c r="J1" s="969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932" t="s">
        <v>1365</v>
      </c>
      <c r="E2" s="932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931">
        <v>1</v>
      </c>
      <c r="B3" s="931" t="s">
        <v>1542</v>
      </c>
      <c r="C3" s="931" t="s">
        <v>1543</v>
      </c>
      <c r="D3" s="931" t="s">
        <v>1544</v>
      </c>
      <c r="E3" s="931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932">
        <f>ROUND(I16*0.8,0)</f>
        <v>201511</v>
      </c>
    </row>
    <row r="4" spans="1:16361" ht="18" customHeight="1">
      <c r="A4" s="931"/>
      <c r="B4" s="931"/>
      <c r="C4" s="931"/>
      <c r="D4" s="931" t="s">
        <v>1545</v>
      </c>
      <c r="E4" s="931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973"/>
    </row>
    <row r="5" spans="1:16361" ht="18" customHeight="1">
      <c r="A5" s="931"/>
      <c r="B5" s="931"/>
      <c r="C5" s="931"/>
      <c r="D5" s="931" t="s">
        <v>1546</v>
      </c>
      <c r="E5" s="931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973"/>
    </row>
    <row r="6" spans="1:16361" ht="18" customHeight="1">
      <c r="A6" s="931"/>
      <c r="B6" s="931"/>
      <c r="C6" s="931"/>
      <c r="D6" s="931" t="s">
        <v>1547</v>
      </c>
      <c r="E6" s="931"/>
      <c r="F6" s="436" t="s">
        <v>1376</v>
      </c>
      <c r="G6" s="412">
        <v>1</v>
      </c>
      <c r="H6" s="413">
        <f>I6/G6</f>
        <v>2815</v>
      </c>
      <c r="I6" s="437">
        <v>2815</v>
      </c>
      <c r="J6" s="973"/>
    </row>
    <row r="7" spans="1:16361" ht="18" customHeight="1">
      <c r="A7" s="931"/>
      <c r="B7" s="931"/>
      <c r="C7" s="931"/>
      <c r="D7" s="931" t="s">
        <v>1548</v>
      </c>
      <c r="E7" s="931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973"/>
    </row>
    <row r="8" spans="1:16361" ht="18" customHeight="1">
      <c r="A8" s="931"/>
      <c r="B8" s="931"/>
      <c r="C8" s="931"/>
      <c r="D8" s="931" t="s">
        <v>1549</v>
      </c>
      <c r="E8" s="931"/>
      <c r="F8" s="436" t="s">
        <v>1388</v>
      </c>
      <c r="G8" s="412">
        <v>0</v>
      </c>
      <c r="H8" s="412">
        <v>0</v>
      </c>
      <c r="I8" s="437">
        <v>0</v>
      </c>
      <c r="J8" s="973"/>
    </row>
    <row r="9" spans="1:16361" ht="18" customHeight="1">
      <c r="A9" s="931"/>
      <c r="B9" s="931"/>
      <c r="C9" s="931"/>
      <c r="D9" s="931" t="s">
        <v>1550</v>
      </c>
      <c r="E9" s="931"/>
      <c r="F9" s="436" t="s">
        <v>1101</v>
      </c>
      <c r="G9" s="412">
        <v>6</v>
      </c>
      <c r="H9" s="413">
        <f>I9/G9</f>
        <v>1600</v>
      </c>
      <c r="I9" s="437">
        <v>9600</v>
      </c>
      <c r="J9" s="973"/>
    </row>
    <row r="10" spans="1:16361" s="416" customFormat="1" ht="18" customHeight="1">
      <c r="A10" s="933"/>
      <c r="B10" s="933"/>
      <c r="C10" s="933" t="s">
        <v>1424</v>
      </c>
      <c r="D10" s="933"/>
      <c r="E10" s="933"/>
      <c r="F10" s="438"/>
      <c r="G10" s="409"/>
      <c r="H10" s="409"/>
      <c r="I10" s="439">
        <f>SUM(I3:I9)</f>
        <v>224081</v>
      </c>
      <c r="J10" s="973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931"/>
      <c r="B11" s="931"/>
      <c r="C11" s="939" t="s">
        <v>1408</v>
      </c>
      <c r="D11" s="939"/>
      <c r="E11" s="939"/>
      <c r="F11" s="950" t="s">
        <v>1376</v>
      </c>
      <c r="G11" s="953">
        <v>1</v>
      </c>
      <c r="H11" s="946">
        <f>I10*0.1</f>
        <v>22408.100000000002</v>
      </c>
      <c r="I11" s="947">
        <f>G11*H11</f>
        <v>22408.100000000002</v>
      </c>
      <c r="J11" s="973"/>
    </row>
    <row r="12" spans="1:16361" ht="18" customHeight="1">
      <c r="A12" s="931"/>
      <c r="B12" s="931"/>
      <c r="C12" s="939" t="s">
        <v>1409</v>
      </c>
      <c r="D12" s="939"/>
      <c r="E12" s="939"/>
      <c r="F12" s="951"/>
      <c r="G12" s="954"/>
      <c r="H12" s="946"/>
      <c r="I12" s="948"/>
      <c r="J12" s="973"/>
    </row>
    <row r="13" spans="1:16361" ht="18" customHeight="1">
      <c r="A13" s="931"/>
      <c r="B13" s="931"/>
      <c r="C13" s="939" t="s">
        <v>1410</v>
      </c>
      <c r="D13" s="939"/>
      <c r="E13" s="939"/>
      <c r="F13" s="952"/>
      <c r="G13" s="955"/>
      <c r="H13" s="946"/>
      <c r="I13" s="949"/>
      <c r="J13" s="973"/>
    </row>
    <row r="14" spans="1:16361" ht="18" customHeight="1">
      <c r="A14" s="931"/>
      <c r="B14" s="931"/>
      <c r="C14" s="939" t="s">
        <v>1415</v>
      </c>
      <c r="D14" s="939"/>
      <c r="E14" s="939"/>
      <c r="F14" s="436" t="s">
        <v>1376</v>
      </c>
      <c r="G14" s="413">
        <v>1</v>
      </c>
      <c r="H14" s="430">
        <v>5400</v>
      </c>
      <c r="I14" s="440">
        <f>H14</f>
        <v>5400</v>
      </c>
      <c r="J14" s="973"/>
    </row>
    <row r="15" spans="1:16361" ht="18" customHeight="1">
      <c r="A15" s="931"/>
      <c r="B15" s="931"/>
      <c r="C15" s="933" t="s">
        <v>1427</v>
      </c>
      <c r="D15" s="933"/>
      <c r="E15" s="933"/>
      <c r="F15" s="436"/>
      <c r="G15" s="409"/>
      <c r="H15" s="409"/>
      <c r="I15" s="439">
        <f>SUM(I11:I14)</f>
        <v>27808.100000000002</v>
      </c>
      <c r="J15" s="973"/>
    </row>
    <row r="16" spans="1:16361" ht="18" customHeight="1">
      <c r="A16" s="411"/>
      <c r="B16" s="411"/>
      <c r="C16" s="933" t="s">
        <v>1428</v>
      </c>
      <c r="D16" s="933"/>
      <c r="E16" s="933"/>
      <c r="F16" s="436"/>
      <c r="G16" s="409"/>
      <c r="H16" s="409"/>
      <c r="I16" s="439">
        <f>I10+I15</f>
        <v>251889.1</v>
      </c>
      <c r="J16" s="973"/>
    </row>
    <row r="17" spans="1:16362" ht="18" customHeight="1">
      <c r="A17" s="931">
        <v>2</v>
      </c>
      <c r="B17" s="931" t="s">
        <v>1551</v>
      </c>
      <c r="C17" s="411" t="s">
        <v>1543</v>
      </c>
      <c r="D17" s="931" t="s">
        <v>1552</v>
      </c>
      <c r="E17" s="931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932">
        <f>ROUND(I25*0.8,0)</f>
        <v>380160</v>
      </c>
    </row>
    <row r="18" spans="1:16362" ht="18" customHeight="1">
      <c r="A18" s="931"/>
      <c r="B18" s="931"/>
      <c r="C18" s="411" t="s">
        <v>1553</v>
      </c>
      <c r="D18" s="931" t="s">
        <v>1554</v>
      </c>
      <c r="E18" s="931"/>
      <c r="F18" s="436" t="s">
        <v>1376</v>
      </c>
      <c r="G18" s="412">
        <v>0</v>
      </c>
      <c r="H18" s="412">
        <v>0</v>
      </c>
      <c r="I18" s="437">
        <v>0</v>
      </c>
      <c r="J18" s="973"/>
    </row>
    <row r="19" spans="1:16362" ht="18" customHeight="1">
      <c r="A19" s="931"/>
      <c r="B19" s="931"/>
      <c r="C19" s="933" t="s">
        <v>1424</v>
      </c>
      <c r="D19" s="933"/>
      <c r="E19" s="933"/>
      <c r="F19" s="436"/>
      <c r="G19" s="412"/>
      <c r="H19" s="412"/>
      <c r="I19" s="439">
        <f>I17+I18</f>
        <v>432000</v>
      </c>
      <c r="J19" s="973"/>
    </row>
    <row r="20" spans="1:16362" ht="18" customHeight="1">
      <c r="A20" s="931"/>
      <c r="B20" s="931"/>
      <c r="C20" s="939" t="s">
        <v>1408</v>
      </c>
      <c r="D20" s="939"/>
      <c r="E20" s="939"/>
      <c r="F20" s="950" t="s">
        <v>1376</v>
      </c>
      <c r="G20" s="953">
        <v>1</v>
      </c>
      <c r="H20" s="956">
        <f>I19*0.1</f>
        <v>43200</v>
      </c>
      <c r="I20" s="959">
        <f>G20*H20</f>
        <v>43200</v>
      </c>
      <c r="J20" s="973"/>
    </row>
    <row r="21" spans="1:16362" ht="18" customHeight="1">
      <c r="A21" s="931"/>
      <c r="B21" s="931"/>
      <c r="C21" s="939" t="s">
        <v>1409</v>
      </c>
      <c r="D21" s="939"/>
      <c r="E21" s="939"/>
      <c r="F21" s="951"/>
      <c r="G21" s="954"/>
      <c r="H21" s="957"/>
      <c r="I21" s="960"/>
      <c r="J21" s="973"/>
    </row>
    <row r="22" spans="1:16362" ht="18" customHeight="1">
      <c r="A22" s="931"/>
      <c r="B22" s="931"/>
      <c r="C22" s="939" t="s">
        <v>1410</v>
      </c>
      <c r="D22" s="939"/>
      <c r="E22" s="939"/>
      <c r="F22" s="951"/>
      <c r="G22" s="954"/>
      <c r="H22" s="957"/>
      <c r="I22" s="960"/>
      <c r="J22" s="973"/>
    </row>
    <row r="23" spans="1:16362" s="420" customFormat="1" ht="18" customHeight="1">
      <c r="A23" s="931"/>
      <c r="B23" s="931"/>
      <c r="C23" s="962" t="s">
        <v>1412</v>
      </c>
      <c r="D23" s="963"/>
      <c r="E23" s="964"/>
      <c r="F23" s="952"/>
      <c r="G23" s="955"/>
      <c r="H23" s="958"/>
      <c r="I23" s="961"/>
      <c r="J23" s="973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931"/>
      <c r="B24" s="931"/>
      <c r="C24" s="933" t="s">
        <v>1427</v>
      </c>
      <c r="D24" s="933"/>
      <c r="E24" s="933"/>
      <c r="F24" s="436"/>
      <c r="G24" s="409"/>
      <c r="H24" s="409"/>
      <c r="I24" s="439">
        <f>SUM(I20:I23)</f>
        <v>43200</v>
      </c>
      <c r="J24" s="973"/>
    </row>
    <row r="25" spans="1:16362" ht="18" customHeight="1">
      <c r="A25" s="411"/>
      <c r="B25" s="411"/>
      <c r="C25" s="933" t="s">
        <v>1428</v>
      </c>
      <c r="D25" s="933"/>
      <c r="E25" s="933"/>
      <c r="F25" s="436"/>
      <c r="G25" s="409"/>
      <c r="H25" s="409"/>
      <c r="I25" s="439">
        <f>I19+I24</f>
        <v>475200</v>
      </c>
      <c r="J25" s="973"/>
    </row>
    <row r="26" spans="1:16362" ht="18" customHeight="1">
      <c r="A26" s="931">
        <v>3</v>
      </c>
      <c r="B26" s="931" t="s">
        <v>1555</v>
      </c>
      <c r="C26" s="931" t="s">
        <v>1430</v>
      </c>
      <c r="D26" s="931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932">
        <f>ROUND(I43*0.8,0)</f>
        <v>379704</v>
      </c>
    </row>
    <row r="27" spans="1:16362" ht="18" customHeight="1">
      <c r="A27" s="931"/>
      <c r="B27" s="931"/>
      <c r="C27" s="931"/>
      <c r="D27" s="931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973"/>
    </row>
    <row r="28" spans="1:16362" ht="18" customHeight="1">
      <c r="A28" s="931"/>
      <c r="B28" s="931"/>
      <c r="C28" s="931"/>
      <c r="D28" s="931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973"/>
    </row>
    <row r="29" spans="1:16362" ht="18" customHeight="1">
      <c r="A29" s="931"/>
      <c r="B29" s="931"/>
      <c r="C29" s="931"/>
      <c r="D29" s="931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973"/>
    </row>
    <row r="30" spans="1:16362" ht="18" customHeight="1">
      <c r="A30" s="931"/>
      <c r="B30" s="931"/>
      <c r="C30" s="931"/>
      <c r="D30" s="931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973"/>
    </row>
    <row r="31" spans="1:16362" ht="18" customHeight="1">
      <c r="A31" s="931"/>
      <c r="B31" s="931"/>
      <c r="C31" s="931"/>
      <c r="D31" s="931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973"/>
    </row>
    <row r="32" spans="1:16362" ht="18" customHeight="1">
      <c r="A32" s="931"/>
      <c r="B32" s="931"/>
      <c r="C32" s="931"/>
      <c r="D32" s="931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973"/>
    </row>
    <row r="33" spans="1:16361" ht="18" customHeight="1">
      <c r="A33" s="931"/>
      <c r="B33" s="931"/>
      <c r="C33" s="931"/>
      <c r="D33" s="931" t="s">
        <v>1559</v>
      </c>
      <c r="E33" s="931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973"/>
    </row>
    <row r="34" spans="1:16361" ht="18" customHeight="1">
      <c r="A34" s="931"/>
      <c r="B34" s="931"/>
      <c r="C34" s="931"/>
      <c r="D34" s="931" t="s">
        <v>1560</v>
      </c>
      <c r="E34" s="931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973"/>
    </row>
    <row r="35" spans="1:16361" ht="18" customHeight="1">
      <c r="A35" s="931"/>
      <c r="B35" s="931"/>
      <c r="C35" s="931"/>
      <c r="D35" s="931" t="s">
        <v>1561</v>
      </c>
      <c r="E35" s="931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973"/>
    </row>
    <row r="36" spans="1:16361" ht="18" customHeight="1">
      <c r="A36" s="931"/>
      <c r="B36" s="931"/>
      <c r="C36" s="931"/>
      <c r="D36" s="931" t="s">
        <v>1562</v>
      </c>
      <c r="E36" s="931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973"/>
    </row>
    <row r="37" spans="1:16361" ht="18" customHeight="1">
      <c r="A37" s="931"/>
      <c r="B37" s="931"/>
      <c r="C37" s="931"/>
      <c r="D37" s="931" t="s">
        <v>1563</v>
      </c>
      <c r="E37" s="931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973"/>
    </row>
    <row r="38" spans="1:16361" s="416" customFormat="1" ht="18" customHeight="1">
      <c r="A38" s="933"/>
      <c r="B38" s="933"/>
      <c r="C38" s="933" t="s">
        <v>1424</v>
      </c>
      <c r="D38" s="933"/>
      <c r="E38" s="933"/>
      <c r="F38" s="414"/>
      <c r="G38" s="409"/>
      <c r="H38" s="409"/>
      <c r="I38" s="439">
        <f>SUM(I26:I37)</f>
        <v>431481.98</v>
      </c>
      <c r="J38" s="973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931"/>
      <c r="B39" s="931"/>
      <c r="C39" s="939" t="s">
        <v>1408</v>
      </c>
      <c r="D39" s="939"/>
      <c r="E39" s="939"/>
      <c r="F39" s="966" t="s">
        <v>1376</v>
      </c>
      <c r="G39" s="953">
        <v>1</v>
      </c>
      <c r="H39" s="956">
        <f>I38*0.1</f>
        <v>43148.198000000004</v>
      </c>
      <c r="I39" s="959">
        <f>G39*H39</f>
        <v>43148.198000000004</v>
      </c>
      <c r="J39" s="973"/>
    </row>
    <row r="40" spans="1:16361" ht="18" customHeight="1">
      <c r="A40" s="931"/>
      <c r="B40" s="931"/>
      <c r="C40" s="939" t="s">
        <v>1409</v>
      </c>
      <c r="D40" s="939"/>
      <c r="E40" s="939"/>
      <c r="F40" s="967"/>
      <c r="G40" s="954"/>
      <c r="H40" s="957"/>
      <c r="I40" s="960"/>
      <c r="J40" s="973"/>
    </row>
    <row r="41" spans="1:16361" ht="18" customHeight="1">
      <c r="A41" s="931"/>
      <c r="B41" s="931"/>
      <c r="C41" s="939" t="s">
        <v>1410</v>
      </c>
      <c r="D41" s="939"/>
      <c r="E41" s="939"/>
      <c r="F41" s="968"/>
      <c r="G41" s="955"/>
      <c r="H41" s="958"/>
      <c r="I41" s="961"/>
      <c r="J41" s="973"/>
    </row>
    <row r="42" spans="1:16361" ht="18" customHeight="1">
      <c r="A42" s="931"/>
      <c r="B42" s="931"/>
      <c r="C42" s="933" t="s">
        <v>1427</v>
      </c>
      <c r="D42" s="933"/>
      <c r="E42" s="933"/>
      <c r="F42" s="411"/>
      <c r="G42" s="409"/>
      <c r="H42" s="409"/>
      <c r="I42" s="439">
        <f>SUM(I39:I41)</f>
        <v>43148.198000000004</v>
      </c>
      <c r="J42" s="973"/>
    </row>
    <row r="43" spans="1:16361" ht="18" customHeight="1">
      <c r="A43" s="411"/>
      <c r="B43" s="411"/>
      <c r="C43" s="933" t="s">
        <v>1428</v>
      </c>
      <c r="D43" s="933"/>
      <c r="E43" s="933"/>
      <c r="F43" s="436"/>
      <c r="G43" s="409"/>
      <c r="H43" s="409"/>
      <c r="I43" s="439">
        <f>I38+I42</f>
        <v>474630.17799999996</v>
      </c>
      <c r="J43" s="973"/>
    </row>
    <row r="44" spans="1:16361" ht="18" customHeight="1">
      <c r="A44" s="931">
        <v>4</v>
      </c>
      <c r="B44" s="965" t="s">
        <v>1564</v>
      </c>
      <c r="C44" s="931" t="s">
        <v>1565</v>
      </c>
      <c r="D44" s="931" t="s">
        <v>1566</v>
      </c>
      <c r="E44" s="931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932">
        <f>ROUND(I54*0.8,0)</f>
        <v>83561</v>
      </c>
    </row>
    <row r="45" spans="1:16361" ht="18" customHeight="1">
      <c r="A45" s="931"/>
      <c r="B45" s="965"/>
      <c r="C45" s="931"/>
      <c r="D45" s="931" t="s">
        <v>1567</v>
      </c>
      <c r="E45" s="931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973"/>
    </row>
    <row r="46" spans="1:16361" ht="18" customHeight="1">
      <c r="A46" s="931"/>
      <c r="B46" s="965"/>
      <c r="C46" s="931"/>
      <c r="D46" s="931" t="s">
        <v>1568</v>
      </c>
      <c r="E46" s="931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973"/>
    </row>
    <row r="47" spans="1:16361" ht="18" customHeight="1">
      <c r="A47" s="931"/>
      <c r="B47" s="965"/>
      <c r="C47" s="931"/>
      <c r="D47" s="931" t="s">
        <v>1569</v>
      </c>
      <c r="E47" s="931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973"/>
    </row>
    <row r="48" spans="1:16361" ht="18" customHeight="1">
      <c r="A48" s="931"/>
      <c r="B48" s="965"/>
      <c r="C48" s="931"/>
      <c r="D48" s="931" t="s">
        <v>1570</v>
      </c>
      <c r="E48" s="931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973"/>
    </row>
    <row r="49" spans="1:16361" s="416" customFormat="1" ht="18" customHeight="1">
      <c r="A49" s="933"/>
      <c r="B49" s="940"/>
      <c r="C49" s="933" t="s">
        <v>1424</v>
      </c>
      <c r="D49" s="933"/>
      <c r="E49" s="933"/>
      <c r="F49" s="438"/>
      <c r="G49" s="409"/>
      <c r="H49" s="409"/>
      <c r="I49" s="439">
        <f>SUM(I44:I48)</f>
        <v>94956.1</v>
      </c>
      <c r="J49" s="973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931"/>
      <c r="B50" s="965"/>
      <c r="C50" s="939" t="s">
        <v>1408</v>
      </c>
      <c r="D50" s="939"/>
      <c r="E50" s="939"/>
      <c r="F50" s="950" t="s">
        <v>1376</v>
      </c>
      <c r="G50" s="953">
        <v>1</v>
      </c>
      <c r="H50" s="956">
        <f>I49*0.1</f>
        <v>9495.61</v>
      </c>
      <c r="I50" s="959">
        <f>H50*G50</f>
        <v>9495.61</v>
      </c>
      <c r="J50" s="973"/>
    </row>
    <row r="51" spans="1:16361" ht="18" customHeight="1">
      <c r="A51" s="931"/>
      <c r="B51" s="965"/>
      <c r="C51" s="939" t="s">
        <v>1409</v>
      </c>
      <c r="D51" s="939"/>
      <c r="E51" s="939"/>
      <c r="F51" s="951"/>
      <c r="G51" s="954"/>
      <c r="H51" s="957"/>
      <c r="I51" s="960"/>
      <c r="J51" s="973"/>
    </row>
    <row r="52" spans="1:16361" ht="18" customHeight="1">
      <c r="A52" s="931"/>
      <c r="B52" s="965"/>
      <c r="C52" s="939" t="s">
        <v>1410</v>
      </c>
      <c r="D52" s="939"/>
      <c r="E52" s="939"/>
      <c r="F52" s="952"/>
      <c r="G52" s="955"/>
      <c r="H52" s="958"/>
      <c r="I52" s="961"/>
      <c r="J52" s="973"/>
    </row>
    <row r="53" spans="1:16361" ht="18" customHeight="1">
      <c r="A53" s="931"/>
      <c r="B53" s="965"/>
      <c r="C53" s="933" t="s">
        <v>1427</v>
      </c>
      <c r="D53" s="933"/>
      <c r="E53" s="933"/>
      <c r="F53" s="436"/>
      <c r="G53" s="409"/>
      <c r="H53" s="409"/>
      <c r="I53" s="439">
        <f>SUM(I50:I52)</f>
        <v>9495.61</v>
      </c>
      <c r="J53" s="973"/>
    </row>
    <row r="54" spans="1:16361" ht="18" customHeight="1">
      <c r="A54" s="411"/>
      <c r="B54" s="422"/>
      <c r="C54" s="933" t="s">
        <v>1428</v>
      </c>
      <c r="D54" s="933"/>
      <c r="E54" s="933"/>
      <c r="F54" s="436"/>
      <c r="G54" s="409"/>
      <c r="H54" s="409"/>
      <c r="I54" s="439">
        <f>I49+I53</f>
        <v>104451.71</v>
      </c>
      <c r="J54" s="973"/>
    </row>
    <row r="55" spans="1:16361" ht="18" customHeight="1">
      <c r="A55" s="931">
        <v>5</v>
      </c>
      <c r="B55" s="931" t="s">
        <v>1571</v>
      </c>
      <c r="C55" s="931" t="s">
        <v>1430</v>
      </c>
      <c r="D55" s="931" t="s">
        <v>1572</v>
      </c>
      <c r="E55" s="931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932">
        <f>ROUND(I65*0.8,0)</f>
        <v>312760</v>
      </c>
    </row>
    <row r="56" spans="1:16361" ht="18" customHeight="1">
      <c r="A56" s="931"/>
      <c r="B56" s="931"/>
      <c r="C56" s="931"/>
      <c r="D56" s="931" t="s">
        <v>1573</v>
      </c>
      <c r="E56" s="931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973"/>
    </row>
    <row r="57" spans="1:16361" ht="18" customHeight="1">
      <c r="A57" s="931"/>
      <c r="B57" s="931"/>
      <c r="C57" s="931"/>
      <c r="D57" s="931" t="s">
        <v>1574</v>
      </c>
      <c r="E57" s="931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973"/>
    </row>
    <row r="58" spans="1:16361" ht="18" customHeight="1">
      <c r="A58" s="931"/>
      <c r="B58" s="931"/>
      <c r="C58" s="931"/>
      <c r="D58" s="931" t="s">
        <v>1575</v>
      </c>
      <c r="E58" s="931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973"/>
    </row>
    <row r="59" spans="1:16361" s="416" customFormat="1" ht="18" customHeight="1">
      <c r="A59" s="933"/>
      <c r="B59" s="933"/>
      <c r="C59" s="933" t="s">
        <v>1424</v>
      </c>
      <c r="D59" s="933"/>
      <c r="E59" s="933"/>
      <c r="F59" s="438"/>
      <c r="G59" s="409"/>
      <c r="H59" s="409"/>
      <c r="I59" s="439">
        <f>SUM(I55:I58)</f>
        <v>350500</v>
      </c>
      <c r="J59" s="973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931"/>
      <c r="B60" s="931"/>
      <c r="C60" s="939" t="s">
        <v>1408</v>
      </c>
      <c r="D60" s="939"/>
      <c r="E60" s="939"/>
      <c r="F60" s="950" t="s">
        <v>1376</v>
      </c>
      <c r="G60" s="953">
        <v>1</v>
      </c>
      <c r="H60" s="956">
        <f>I59*0.1</f>
        <v>35050</v>
      </c>
      <c r="I60" s="959">
        <f>G60*H60</f>
        <v>35050</v>
      </c>
      <c r="J60" s="973"/>
    </row>
    <row r="61" spans="1:16361" ht="18" customHeight="1">
      <c r="A61" s="931"/>
      <c r="B61" s="931"/>
      <c r="C61" s="939" t="s">
        <v>1409</v>
      </c>
      <c r="D61" s="939"/>
      <c r="E61" s="939"/>
      <c r="F61" s="951"/>
      <c r="G61" s="954"/>
      <c r="H61" s="957"/>
      <c r="I61" s="960"/>
      <c r="J61" s="973"/>
    </row>
    <row r="62" spans="1:16361" ht="18" customHeight="1">
      <c r="A62" s="931"/>
      <c r="B62" s="931"/>
      <c r="C62" s="939" t="s">
        <v>1410</v>
      </c>
      <c r="D62" s="939"/>
      <c r="E62" s="939"/>
      <c r="F62" s="952"/>
      <c r="G62" s="955"/>
      <c r="H62" s="958"/>
      <c r="I62" s="961"/>
      <c r="J62" s="973"/>
    </row>
    <row r="63" spans="1:16361" ht="18" customHeight="1">
      <c r="A63" s="931"/>
      <c r="B63" s="931"/>
      <c r="C63" s="939" t="s">
        <v>1415</v>
      </c>
      <c r="D63" s="939"/>
      <c r="E63" s="939"/>
      <c r="F63" s="436" t="s">
        <v>1376</v>
      </c>
      <c r="G63" s="413">
        <v>1</v>
      </c>
      <c r="H63" s="413">
        <v>5400</v>
      </c>
      <c r="I63" s="442">
        <f>H63</f>
        <v>5400</v>
      </c>
      <c r="J63" s="973"/>
    </row>
    <row r="64" spans="1:16361" ht="18" customHeight="1">
      <c r="A64" s="931"/>
      <c r="B64" s="931"/>
      <c r="C64" s="933" t="s">
        <v>1427</v>
      </c>
      <c r="D64" s="933"/>
      <c r="E64" s="933"/>
      <c r="F64" s="436"/>
      <c r="G64" s="409"/>
      <c r="H64" s="409"/>
      <c r="I64" s="439">
        <f>SUM(I60:I63)</f>
        <v>40450</v>
      </c>
      <c r="J64" s="973"/>
    </row>
    <row r="65" spans="1:16362" ht="18" customHeight="1">
      <c r="A65" s="411"/>
      <c r="B65" s="411"/>
      <c r="C65" s="933" t="s">
        <v>1428</v>
      </c>
      <c r="D65" s="933"/>
      <c r="E65" s="933"/>
      <c r="F65" s="436"/>
      <c r="G65" s="409"/>
      <c r="H65" s="409"/>
      <c r="I65" s="439">
        <f>I59+I64</f>
        <v>390950</v>
      </c>
      <c r="J65" s="973"/>
    </row>
    <row r="66" spans="1:16362" ht="18" customHeight="1">
      <c r="A66" s="931">
        <v>6</v>
      </c>
      <c r="B66" s="931" t="s">
        <v>1576</v>
      </c>
      <c r="C66" s="931" t="s">
        <v>1430</v>
      </c>
      <c r="D66" s="931" t="s">
        <v>1577</v>
      </c>
      <c r="E66" s="931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932">
        <f>ROUND(I76*0.8,0)</f>
        <v>773417</v>
      </c>
    </row>
    <row r="67" spans="1:16362" ht="18" customHeight="1">
      <c r="A67" s="931"/>
      <c r="B67" s="931"/>
      <c r="C67" s="931"/>
      <c r="D67" s="931" t="s">
        <v>1578</v>
      </c>
      <c r="E67" s="931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973"/>
    </row>
    <row r="68" spans="1:16362" ht="18" customHeight="1">
      <c r="A68" s="931"/>
      <c r="B68" s="931"/>
      <c r="C68" s="411" t="s">
        <v>1421</v>
      </c>
      <c r="D68" s="931" t="s">
        <v>1579</v>
      </c>
      <c r="E68" s="931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973"/>
    </row>
    <row r="69" spans="1:16362" s="416" customFormat="1" ht="18" customHeight="1">
      <c r="A69" s="933"/>
      <c r="B69" s="933"/>
      <c r="C69" s="933" t="s">
        <v>1424</v>
      </c>
      <c r="D69" s="933"/>
      <c r="E69" s="933"/>
      <c r="F69" s="438"/>
      <c r="G69" s="409"/>
      <c r="H69" s="409"/>
      <c r="I69" s="439">
        <f>SUM(I66:I68)</f>
        <v>851610</v>
      </c>
      <c r="J69" s="973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931"/>
      <c r="B70" s="931"/>
      <c r="C70" s="939" t="s">
        <v>1408</v>
      </c>
      <c r="D70" s="939"/>
      <c r="E70" s="939"/>
      <c r="F70" s="950" t="s">
        <v>1376</v>
      </c>
      <c r="G70" s="953">
        <v>1</v>
      </c>
      <c r="H70" s="956">
        <f>I69*0.1</f>
        <v>85161</v>
      </c>
      <c r="I70" s="959">
        <f>G70*H70</f>
        <v>85161</v>
      </c>
      <c r="J70" s="973"/>
    </row>
    <row r="71" spans="1:16362" ht="18" customHeight="1">
      <c r="A71" s="931"/>
      <c r="B71" s="931"/>
      <c r="C71" s="939" t="s">
        <v>1409</v>
      </c>
      <c r="D71" s="939"/>
      <c r="E71" s="939"/>
      <c r="F71" s="951"/>
      <c r="G71" s="954"/>
      <c r="H71" s="957"/>
      <c r="I71" s="960"/>
      <c r="J71" s="973"/>
    </row>
    <row r="72" spans="1:16362" ht="18" customHeight="1">
      <c r="A72" s="931"/>
      <c r="B72" s="931"/>
      <c r="C72" s="939" t="s">
        <v>1410</v>
      </c>
      <c r="D72" s="939"/>
      <c r="E72" s="939"/>
      <c r="F72" s="951"/>
      <c r="G72" s="954"/>
      <c r="H72" s="957"/>
      <c r="I72" s="960"/>
      <c r="J72" s="973"/>
    </row>
    <row r="73" spans="1:16362" s="420" customFormat="1" ht="18" customHeight="1">
      <c r="A73" s="931"/>
      <c r="B73" s="931"/>
      <c r="C73" s="962" t="s">
        <v>1412</v>
      </c>
      <c r="D73" s="963"/>
      <c r="E73" s="964"/>
      <c r="F73" s="952"/>
      <c r="G73" s="955"/>
      <c r="H73" s="958"/>
      <c r="I73" s="961"/>
      <c r="J73" s="973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931"/>
      <c r="B74" s="931"/>
      <c r="C74" s="939" t="s">
        <v>1426</v>
      </c>
      <c r="D74" s="939"/>
      <c r="E74" s="939"/>
      <c r="F74" s="436" t="s">
        <v>1376</v>
      </c>
      <c r="G74" s="413">
        <v>1</v>
      </c>
      <c r="H74" s="430">
        <f>I74</f>
        <v>30000</v>
      </c>
      <c r="I74" s="442">
        <v>30000</v>
      </c>
      <c r="J74" s="973"/>
    </row>
    <row r="75" spans="1:16362" ht="18" customHeight="1">
      <c r="A75" s="931"/>
      <c r="B75" s="931"/>
      <c r="C75" s="933" t="s">
        <v>1427</v>
      </c>
      <c r="D75" s="933"/>
      <c r="E75" s="933"/>
      <c r="F75" s="436"/>
      <c r="G75" s="409"/>
      <c r="H75" s="409"/>
      <c r="I75" s="439">
        <f>SUM(I70:I74)</f>
        <v>115161</v>
      </c>
      <c r="J75" s="973"/>
    </row>
    <row r="76" spans="1:16362" ht="18" customHeight="1">
      <c r="A76" s="411"/>
      <c r="B76" s="411"/>
      <c r="C76" s="933" t="s">
        <v>1428</v>
      </c>
      <c r="D76" s="933"/>
      <c r="E76" s="933"/>
      <c r="F76" s="436"/>
      <c r="G76" s="409"/>
      <c r="H76" s="409"/>
      <c r="I76" s="439">
        <f>I69+I75</f>
        <v>966771</v>
      </c>
      <c r="J76" s="973"/>
    </row>
    <row r="77" spans="1:16362" ht="18" customHeight="1">
      <c r="A77" s="931">
        <v>7</v>
      </c>
      <c r="B77" s="931" t="s">
        <v>1580</v>
      </c>
      <c r="C77" s="931" t="s">
        <v>1430</v>
      </c>
      <c r="D77" s="931" t="s">
        <v>1581</v>
      </c>
      <c r="E77" s="931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932">
        <f>ROUND(I88*0.8,0)</f>
        <v>729264</v>
      </c>
    </row>
    <row r="78" spans="1:16362" ht="18" customHeight="1">
      <c r="A78" s="931"/>
      <c r="B78" s="931"/>
      <c r="C78" s="931"/>
      <c r="D78" s="931" t="s">
        <v>1582</v>
      </c>
      <c r="E78" s="931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973"/>
    </row>
    <row r="79" spans="1:16362" ht="18" customHeight="1">
      <c r="A79" s="931"/>
      <c r="B79" s="931"/>
      <c r="C79" s="931"/>
      <c r="D79" s="931" t="s">
        <v>1583</v>
      </c>
      <c r="E79" s="931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973"/>
    </row>
    <row r="80" spans="1:16362" ht="18" customHeight="1">
      <c r="A80" s="931"/>
      <c r="B80" s="931"/>
      <c r="C80" s="966" t="s">
        <v>1421</v>
      </c>
      <c r="D80" s="931" t="s">
        <v>1584</v>
      </c>
      <c r="E80" s="931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973"/>
    </row>
    <row r="81" spans="1:16361" ht="18" customHeight="1">
      <c r="A81" s="931"/>
      <c r="B81" s="931"/>
      <c r="C81" s="968"/>
      <c r="D81" s="974" t="s">
        <v>1423</v>
      </c>
      <c r="E81" s="975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973"/>
    </row>
    <row r="82" spans="1:16361" s="416" customFormat="1" ht="18" customHeight="1">
      <c r="A82" s="933"/>
      <c r="B82" s="933"/>
      <c r="C82" s="933" t="s">
        <v>1424</v>
      </c>
      <c r="D82" s="933"/>
      <c r="E82" s="933"/>
      <c r="F82" s="438"/>
      <c r="G82" s="409"/>
      <c r="H82" s="409"/>
      <c r="I82" s="439">
        <f>SUM(I77:I81)</f>
        <v>801435.82</v>
      </c>
      <c r="J82" s="973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931"/>
      <c r="B83" s="931"/>
      <c r="C83" s="939" t="s">
        <v>1408</v>
      </c>
      <c r="D83" s="939"/>
      <c r="E83" s="939"/>
      <c r="F83" s="950" t="s">
        <v>1376</v>
      </c>
      <c r="G83" s="953">
        <v>1</v>
      </c>
      <c r="H83" s="956">
        <f>I82*0.1</f>
        <v>80143.581999999995</v>
      </c>
      <c r="I83" s="959">
        <f>G83*H83</f>
        <v>80143.581999999995</v>
      </c>
      <c r="J83" s="973"/>
    </row>
    <row r="84" spans="1:16361" ht="18" customHeight="1">
      <c r="A84" s="931"/>
      <c r="B84" s="931"/>
      <c r="C84" s="939" t="s">
        <v>1409</v>
      </c>
      <c r="D84" s="939"/>
      <c r="E84" s="939"/>
      <c r="F84" s="951"/>
      <c r="G84" s="954"/>
      <c r="H84" s="957"/>
      <c r="I84" s="960"/>
      <c r="J84" s="973"/>
    </row>
    <row r="85" spans="1:16361" ht="18" customHeight="1">
      <c r="A85" s="931"/>
      <c r="B85" s="931"/>
      <c r="C85" s="939" t="s">
        <v>1410</v>
      </c>
      <c r="D85" s="939"/>
      <c r="E85" s="939"/>
      <c r="F85" s="952"/>
      <c r="G85" s="955"/>
      <c r="H85" s="958"/>
      <c r="I85" s="961"/>
      <c r="J85" s="973"/>
    </row>
    <row r="86" spans="1:16361" ht="18" customHeight="1">
      <c r="A86" s="931"/>
      <c r="B86" s="931"/>
      <c r="C86" s="939" t="s">
        <v>1426</v>
      </c>
      <c r="D86" s="939"/>
      <c r="E86" s="939"/>
      <c r="F86" s="436"/>
      <c r="G86" s="413">
        <v>1</v>
      </c>
      <c r="H86" s="430">
        <f>I86</f>
        <v>30000</v>
      </c>
      <c r="I86" s="442">
        <v>30000</v>
      </c>
      <c r="J86" s="973"/>
    </row>
    <row r="87" spans="1:16361" ht="18" customHeight="1">
      <c r="A87" s="931"/>
      <c r="B87" s="931"/>
      <c r="C87" s="933" t="s">
        <v>1427</v>
      </c>
      <c r="D87" s="933"/>
      <c r="E87" s="933"/>
      <c r="F87" s="436"/>
      <c r="G87" s="409"/>
      <c r="H87" s="409"/>
      <c r="I87" s="439">
        <f>SUM(I83:I86)</f>
        <v>110143.58199999999</v>
      </c>
      <c r="J87" s="973"/>
    </row>
    <row r="88" spans="1:16361" ht="18" customHeight="1">
      <c r="A88" s="411"/>
      <c r="B88" s="411"/>
      <c r="C88" s="970" t="s">
        <v>1428</v>
      </c>
      <c r="D88" s="971"/>
      <c r="E88" s="972"/>
      <c r="F88" s="436"/>
      <c r="G88" s="409"/>
      <c r="H88" s="409"/>
      <c r="I88" s="439">
        <f>I82+I87</f>
        <v>911579.402</v>
      </c>
      <c r="J88" s="973"/>
    </row>
    <row r="89" spans="1:16361" ht="18" customHeight="1">
      <c r="A89" s="422"/>
      <c r="B89" s="422"/>
      <c r="C89" s="940" t="s">
        <v>1586</v>
      </c>
      <c r="D89" s="940"/>
      <c r="E89" s="940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997" t="s">
        <v>1587</v>
      </c>
      <c r="B1" s="997"/>
      <c r="C1" s="997"/>
      <c r="D1" s="997"/>
      <c r="E1" s="997"/>
      <c r="F1" s="997"/>
      <c r="G1" s="997"/>
      <c r="H1" s="997"/>
      <c r="I1" s="997"/>
      <c r="J1" s="998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976">
        <v>1</v>
      </c>
      <c r="B3" s="976" t="s">
        <v>1593</v>
      </c>
      <c r="C3" s="977" t="s">
        <v>1369</v>
      </c>
      <c r="D3" s="978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990">
        <f>ROUND(I12*0.8,0)</f>
        <v>639807</v>
      </c>
    </row>
    <row r="4" spans="1:10" ht="17.45" customHeight="1">
      <c r="A4" s="976"/>
      <c r="B4" s="976"/>
      <c r="C4" s="977"/>
      <c r="D4" s="979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999"/>
    </row>
    <row r="5" spans="1:10" ht="17.45" customHeight="1">
      <c r="A5" s="976"/>
      <c r="B5" s="976"/>
      <c r="C5" s="977"/>
      <c r="D5" s="978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999"/>
    </row>
    <row r="6" spans="1:10" ht="17.45" customHeight="1">
      <c r="A6" s="976"/>
      <c r="B6" s="976"/>
      <c r="C6" s="977"/>
      <c r="D6" s="979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999"/>
    </row>
    <row r="7" spans="1:10" ht="17.45" customHeight="1">
      <c r="A7" s="976"/>
      <c r="B7" s="976"/>
      <c r="C7" s="977"/>
      <c r="D7" s="978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999"/>
    </row>
    <row r="8" spans="1:10" ht="17.45" customHeight="1">
      <c r="A8" s="976"/>
      <c r="B8" s="976"/>
      <c r="C8" s="977"/>
      <c r="D8" s="980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999"/>
    </row>
    <row r="9" spans="1:10" ht="17.45" customHeight="1">
      <c r="A9" s="976"/>
      <c r="B9" s="976"/>
      <c r="C9" s="977"/>
      <c r="D9" s="979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999"/>
    </row>
    <row r="10" spans="1:10" s="455" customFormat="1" ht="17.45" customHeight="1">
      <c r="A10" s="976"/>
      <c r="B10" s="976"/>
      <c r="C10" s="981" t="s">
        <v>1424</v>
      </c>
      <c r="D10" s="982"/>
      <c r="E10" s="983"/>
      <c r="F10" s="451"/>
      <c r="G10" s="452"/>
      <c r="H10" s="453"/>
      <c r="I10" s="454">
        <f>SUM(I3:I9)</f>
        <v>685537</v>
      </c>
      <c r="J10" s="999"/>
    </row>
    <row r="11" spans="1:10" s="455" customFormat="1" ht="17.45" customHeight="1">
      <c r="A11" s="976"/>
      <c r="B11" s="976"/>
      <c r="C11" s="984" t="s">
        <v>1603</v>
      </c>
      <c r="D11" s="984"/>
      <c r="E11" s="984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999"/>
    </row>
    <row r="12" spans="1:10" s="455" customFormat="1" ht="17.45" customHeight="1">
      <c r="A12" s="976"/>
      <c r="B12" s="976"/>
      <c r="C12" s="984" t="s">
        <v>1428</v>
      </c>
      <c r="D12" s="984"/>
      <c r="E12" s="984"/>
      <c r="F12" s="451"/>
      <c r="G12" s="452"/>
      <c r="H12" s="453"/>
      <c r="I12" s="457">
        <f>I11+I10</f>
        <v>799759</v>
      </c>
      <c r="J12" s="999"/>
    </row>
    <row r="13" spans="1:10" ht="17.45" customHeight="1">
      <c r="A13" s="977">
        <v>2</v>
      </c>
      <c r="B13" s="976" t="s">
        <v>311</v>
      </c>
      <c r="C13" s="985" t="s">
        <v>1369</v>
      </c>
      <c r="D13" s="976" t="s">
        <v>1421</v>
      </c>
      <c r="E13" s="458" t="s">
        <v>1604</v>
      </c>
      <c r="F13" s="986" t="s">
        <v>1372</v>
      </c>
      <c r="G13" s="988">
        <f>2200*0.8</f>
        <v>1760</v>
      </c>
      <c r="H13" s="988">
        <v>300</v>
      </c>
      <c r="I13" s="986">
        <f t="shared" ref="I13:I17" si="1">H13*G13</f>
        <v>528000</v>
      </c>
      <c r="J13" s="990">
        <f>ROUND(I24*0.8,0)</f>
        <v>1210128</v>
      </c>
    </row>
    <row r="14" spans="1:10" ht="17.45" customHeight="1">
      <c r="A14" s="977"/>
      <c r="B14" s="976"/>
      <c r="C14" s="985"/>
      <c r="D14" s="976"/>
      <c r="E14" s="458" t="s">
        <v>1605</v>
      </c>
      <c r="F14" s="987"/>
      <c r="G14" s="989"/>
      <c r="H14" s="989"/>
      <c r="I14" s="987"/>
      <c r="J14" s="990"/>
    </row>
    <row r="15" spans="1:10" ht="17.45" customHeight="1">
      <c r="A15" s="977"/>
      <c r="B15" s="976"/>
      <c r="C15" s="985"/>
      <c r="D15" s="976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990"/>
    </row>
    <row r="16" spans="1:10" ht="17.45" customHeight="1">
      <c r="A16" s="977"/>
      <c r="B16" s="976"/>
      <c r="C16" s="985"/>
      <c r="D16" s="976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990"/>
    </row>
    <row r="17" spans="1:10" ht="17.45" customHeight="1">
      <c r="A17" s="977"/>
      <c r="B17" s="976"/>
      <c r="C17" s="985"/>
      <c r="D17" s="976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990"/>
    </row>
    <row r="18" spans="1:10" ht="17.45" customHeight="1">
      <c r="A18" s="977"/>
      <c r="B18" s="976"/>
      <c r="C18" s="985"/>
      <c r="D18" s="976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990"/>
    </row>
    <row r="19" spans="1:10" ht="17.45" customHeight="1">
      <c r="A19" s="977"/>
      <c r="B19" s="976"/>
      <c r="C19" s="985"/>
      <c r="D19" s="976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990"/>
    </row>
    <row r="20" spans="1:10" ht="17.45" customHeight="1">
      <c r="A20" s="977"/>
      <c r="B20" s="976"/>
      <c r="C20" s="985"/>
      <c r="D20" s="976"/>
      <c r="E20" s="458" t="s">
        <v>1611</v>
      </c>
      <c r="F20" s="459"/>
      <c r="G20" s="448"/>
      <c r="H20" s="448"/>
      <c r="I20" s="449"/>
      <c r="J20" s="990"/>
    </row>
    <row r="21" spans="1:10" ht="17.45" customHeight="1">
      <c r="A21" s="977"/>
      <c r="B21" s="976"/>
      <c r="C21" s="985"/>
      <c r="D21" s="976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990"/>
    </row>
    <row r="22" spans="1:10" s="462" customFormat="1" ht="17.45" customHeight="1">
      <c r="A22" s="977"/>
      <c r="B22" s="976"/>
      <c r="C22" s="981" t="s">
        <v>1424</v>
      </c>
      <c r="D22" s="982"/>
      <c r="E22" s="983"/>
      <c r="F22" s="460"/>
      <c r="G22" s="453"/>
      <c r="H22" s="453"/>
      <c r="I22" s="461">
        <f>SUM(I13:I21)</f>
        <v>1320600</v>
      </c>
      <c r="J22" s="990"/>
    </row>
    <row r="23" spans="1:10" s="455" customFormat="1" ht="17.45" customHeight="1">
      <c r="A23" s="977"/>
      <c r="B23" s="976"/>
      <c r="C23" s="981" t="s">
        <v>1603</v>
      </c>
      <c r="D23" s="982"/>
      <c r="E23" s="983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990"/>
    </row>
    <row r="24" spans="1:10" s="462" customFormat="1" ht="17.45" customHeight="1">
      <c r="A24" s="977"/>
      <c r="B24" s="976"/>
      <c r="C24" s="981" t="s">
        <v>1428</v>
      </c>
      <c r="D24" s="982"/>
      <c r="E24" s="983"/>
      <c r="F24" s="451"/>
      <c r="G24" s="452"/>
      <c r="H24" s="452"/>
      <c r="I24" s="457">
        <f>I23+I22</f>
        <v>1512660</v>
      </c>
      <c r="J24" s="990"/>
    </row>
    <row r="25" spans="1:10" ht="17.45" customHeight="1">
      <c r="A25" s="976">
        <v>3</v>
      </c>
      <c r="B25" s="976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990">
        <f>ROUND(I28*0.8,0)</f>
        <v>298999</v>
      </c>
    </row>
    <row r="26" spans="1:10" s="462" customFormat="1" ht="17.45" customHeight="1">
      <c r="A26" s="976"/>
      <c r="B26" s="976"/>
      <c r="C26" s="981" t="s">
        <v>1424</v>
      </c>
      <c r="D26" s="982"/>
      <c r="E26" s="983"/>
      <c r="F26" s="451"/>
      <c r="G26" s="452"/>
      <c r="H26" s="453"/>
      <c r="I26" s="454">
        <f>SUM(I25:I25)</f>
        <v>339772</v>
      </c>
      <c r="J26" s="990"/>
    </row>
    <row r="27" spans="1:10" s="455" customFormat="1" ht="17.45" customHeight="1">
      <c r="A27" s="976"/>
      <c r="B27" s="976"/>
      <c r="C27" s="981" t="s">
        <v>1603</v>
      </c>
      <c r="D27" s="982"/>
      <c r="E27" s="983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990"/>
    </row>
    <row r="28" spans="1:10" s="462" customFormat="1" ht="17.45" customHeight="1">
      <c r="A28" s="976"/>
      <c r="B28" s="976"/>
      <c r="C28" s="981" t="s">
        <v>1428</v>
      </c>
      <c r="D28" s="982"/>
      <c r="E28" s="983"/>
      <c r="F28" s="451"/>
      <c r="G28" s="452"/>
      <c r="H28" s="453"/>
      <c r="I28" s="457">
        <f>I27+I26</f>
        <v>373749</v>
      </c>
      <c r="J28" s="990"/>
    </row>
    <row r="29" spans="1:10" ht="17.45" customHeight="1">
      <c r="A29" s="976">
        <v>4</v>
      </c>
      <c r="B29" s="976" t="s">
        <v>315</v>
      </c>
      <c r="C29" s="977" t="s">
        <v>1616</v>
      </c>
      <c r="D29" s="976" t="s">
        <v>1614</v>
      </c>
      <c r="E29" s="463" t="s">
        <v>1617</v>
      </c>
      <c r="F29" s="978" t="s">
        <v>1372</v>
      </c>
      <c r="G29" s="992">
        <f>1150*0.8</f>
        <v>920</v>
      </c>
      <c r="H29" s="992">
        <v>330</v>
      </c>
      <c r="I29" s="978">
        <f>H29*G29</f>
        <v>303600</v>
      </c>
      <c r="J29" s="990">
        <f>ROUND(I34*0.8,0)</f>
        <v>345816</v>
      </c>
    </row>
    <row r="30" spans="1:10" ht="17.45" customHeight="1">
      <c r="A30" s="976"/>
      <c r="B30" s="976"/>
      <c r="C30" s="977"/>
      <c r="D30" s="976"/>
      <c r="E30" s="463" t="s">
        <v>1618</v>
      </c>
      <c r="F30" s="979"/>
      <c r="G30" s="993">
        <v>1150</v>
      </c>
      <c r="H30" s="993">
        <v>45</v>
      </c>
      <c r="I30" s="979"/>
      <c r="J30" s="990"/>
    </row>
    <row r="31" spans="1:10" ht="17.45" customHeight="1">
      <c r="A31" s="976"/>
      <c r="B31" s="976"/>
      <c r="C31" s="977"/>
      <c r="D31" s="976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990"/>
    </row>
    <row r="32" spans="1:10" s="462" customFormat="1" ht="17.45" customHeight="1">
      <c r="A32" s="976"/>
      <c r="B32" s="976"/>
      <c r="C32" s="981" t="s">
        <v>1424</v>
      </c>
      <c r="D32" s="982"/>
      <c r="E32" s="983"/>
      <c r="F32" s="451"/>
      <c r="G32" s="452"/>
      <c r="H32" s="453"/>
      <c r="I32" s="464">
        <f>I29+I31</f>
        <v>365700</v>
      </c>
      <c r="J32" s="990"/>
    </row>
    <row r="33" spans="1:16126" s="455" customFormat="1" ht="17.45" customHeight="1">
      <c r="A33" s="976"/>
      <c r="B33" s="976"/>
      <c r="C33" s="981" t="s">
        <v>1603</v>
      </c>
      <c r="D33" s="982"/>
      <c r="E33" s="983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990"/>
    </row>
    <row r="34" spans="1:16126" s="462" customFormat="1" ht="17.45" customHeight="1">
      <c r="A34" s="976"/>
      <c r="B34" s="976"/>
      <c r="C34" s="981" t="s">
        <v>1428</v>
      </c>
      <c r="D34" s="982"/>
      <c r="E34" s="983"/>
      <c r="F34" s="451"/>
      <c r="G34" s="452"/>
      <c r="H34" s="453"/>
      <c r="I34" s="457">
        <f>I33+I32</f>
        <v>432270</v>
      </c>
      <c r="J34" s="990"/>
    </row>
    <row r="35" spans="1:16126" ht="17.45" customHeight="1">
      <c r="A35" s="976">
        <v>5</v>
      </c>
      <c r="B35" s="976" t="s">
        <v>1620</v>
      </c>
      <c r="C35" s="977" t="s">
        <v>1369</v>
      </c>
      <c r="D35" s="978" t="s">
        <v>1421</v>
      </c>
      <c r="E35" s="446" t="s">
        <v>1621</v>
      </c>
      <c r="F35" s="978" t="s">
        <v>1372</v>
      </c>
      <c r="G35" s="992">
        <f>1434*0.2</f>
        <v>286.8</v>
      </c>
      <c r="H35" s="992">
        <v>300</v>
      </c>
      <c r="I35" s="978">
        <f>H35*G35</f>
        <v>86040</v>
      </c>
      <c r="J35" s="990">
        <f>ROUND(I40*0.8,0)</f>
        <v>342004</v>
      </c>
    </row>
    <row r="36" spans="1:16126" ht="17.45" customHeight="1">
      <c r="A36" s="976"/>
      <c r="B36" s="976"/>
      <c r="C36" s="977"/>
      <c r="D36" s="980"/>
      <c r="E36" s="446" t="s">
        <v>1622</v>
      </c>
      <c r="F36" s="979"/>
      <c r="G36" s="993"/>
      <c r="H36" s="993"/>
      <c r="I36" s="979"/>
      <c r="J36" s="990"/>
    </row>
    <row r="37" spans="1:16126" ht="17.45" customHeight="1">
      <c r="A37" s="976"/>
      <c r="B37" s="976"/>
      <c r="C37" s="977"/>
      <c r="D37" s="979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990"/>
    </row>
    <row r="38" spans="1:16126" ht="17.45" customHeight="1">
      <c r="A38" s="976"/>
      <c r="B38" s="976"/>
      <c r="C38" s="981" t="s">
        <v>1424</v>
      </c>
      <c r="D38" s="982"/>
      <c r="E38" s="983"/>
      <c r="F38" s="451"/>
      <c r="G38" s="452"/>
      <c r="H38" s="466"/>
      <c r="I38" s="464">
        <f>SUM(I35:I37)</f>
        <v>361368</v>
      </c>
      <c r="J38" s="990"/>
    </row>
    <row r="39" spans="1:16126" s="455" customFormat="1" ht="17.45" customHeight="1">
      <c r="A39" s="976"/>
      <c r="B39" s="976"/>
      <c r="C39" s="981" t="s">
        <v>1603</v>
      </c>
      <c r="D39" s="982"/>
      <c r="E39" s="983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990"/>
    </row>
    <row r="40" spans="1:16126" s="462" customFormat="1" ht="17.45" customHeight="1">
      <c r="A40" s="978"/>
      <c r="B40" s="978"/>
      <c r="C40" s="994" t="s">
        <v>1428</v>
      </c>
      <c r="D40" s="995"/>
      <c r="E40" s="996"/>
      <c r="F40" s="475"/>
      <c r="G40" s="476"/>
      <c r="H40" s="477"/>
      <c r="I40" s="478">
        <f>I39+I38</f>
        <v>427505</v>
      </c>
      <c r="J40" s="990"/>
    </row>
    <row r="41" spans="1:16126" ht="17.45" customHeight="1">
      <c r="A41" s="976">
        <v>6</v>
      </c>
      <c r="B41" s="976" t="s">
        <v>1624</v>
      </c>
      <c r="C41" s="977" t="s">
        <v>1369</v>
      </c>
      <c r="D41" s="976" t="s">
        <v>1421</v>
      </c>
      <c r="E41" s="446" t="s">
        <v>1625</v>
      </c>
      <c r="F41" s="976" t="s">
        <v>1372</v>
      </c>
      <c r="G41" s="991">
        <f>1861*0.9</f>
        <v>1674.9</v>
      </c>
      <c r="H41" s="991">
        <v>300</v>
      </c>
      <c r="I41" s="976">
        <f>H41*G41</f>
        <v>502470</v>
      </c>
      <c r="J41" s="990">
        <f>ROUND(I46*0.8,0)</f>
        <v>505478</v>
      </c>
    </row>
    <row r="42" spans="1:16126" ht="17.45" customHeight="1">
      <c r="A42" s="976"/>
      <c r="B42" s="976"/>
      <c r="C42" s="977"/>
      <c r="D42" s="976"/>
      <c r="E42" s="446" t="s">
        <v>1626</v>
      </c>
      <c r="F42" s="976"/>
      <c r="G42" s="991"/>
      <c r="H42" s="991"/>
      <c r="I42" s="976"/>
      <c r="J42" s="990"/>
    </row>
    <row r="43" spans="1:16126" ht="17.45" customHeight="1">
      <c r="A43" s="976"/>
      <c r="B43" s="976"/>
      <c r="C43" s="977"/>
      <c r="D43" s="976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990"/>
    </row>
    <row r="44" spans="1:16126" ht="17.45" customHeight="1">
      <c r="A44" s="976"/>
      <c r="B44" s="976"/>
      <c r="C44" s="984" t="s">
        <v>1424</v>
      </c>
      <c r="D44" s="984"/>
      <c r="E44" s="984"/>
      <c r="F44" s="451"/>
      <c r="G44" s="452"/>
      <c r="H44" s="466"/>
      <c r="I44" s="464">
        <f>SUM(I41:I43)</f>
        <v>547134</v>
      </c>
      <c r="J44" s="990"/>
    </row>
    <row r="45" spans="1:16126" s="455" customFormat="1" ht="17.45" customHeight="1">
      <c r="A45" s="976"/>
      <c r="B45" s="976"/>
      <c r="C45" s="984" t="s">
        <v>1603</v>
      </c>
      <c r="D45" s="984"/>
      <c r="E45" s="984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990"/>
    </row>
    <row r="46" spans="1:16126" s="462" customFormat="1" ht="17.45" customHeight="1">
      <c r="A46" s="976"/>
      <c r="B46" s="976"/>
      <c r="C46" s="984" t="s">
        <v>1428</v>
      </c>
      <c r="D46" s="984"/>
      <c r="E46" s="984"/>
      <c r="F46" s="451"/>
      <c r="G46" s="452"/>
      <c r="H46" s="453"/>
      <c r="I46" s="457">
        <f>I45+I44</f>
        <v>631847</v>
      </c>
      <c r="J46" s="990"/>
    </row>
    <row r="47" spans="1:16126" s="469" customFormat="1" ht="17.45" customHeight="1">
      <c r="A47" s="479"/>
      <c r="B47" s="479"/>
      <c r="C47" s="990" t="s">
        <v>1540</v>
      </c>
      <c r="D47" s="990"/>
      <c r="E47" s="990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920" t="s">
        <v>1628</v>
      </c>
      <c r="B1" s="920"/>
      <c r="C1" s="920"/>
      <c r="D1" s="920"/>
      <c r="E1" s="920"/>
      <c r="F1" s="920"/>
      <c r="G1" s="920"/>
      <c r="H1" s="920"/>
      <c r="I1" s="920"/>
      <c r="J1" s="921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909">
        <v>1</v>
      </c>
      <c r="B3" s="909" t="s">
        <v>1629</v>
      </c>
      <c r="C3" s="909" t="s">
        <v>1630</v>
      </c>
      <c r="D3" s="909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1005">
        <f>ROUND(I14*0.8,0)</f>
        <v>153887</v>
      </c>
    </row>
    <row r="4" spans="1:11" ht="17.100000000000001" customHeight="1">
      <c r="A4" s="909"/>
      <c r="B4" s="909"/>
      <c r="C4" s="909"/>
      <c r="D4" s="909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919"/>
      <c r="K4" s="376"/>
    </row>
    <row r="5" spans="1:11" ht="17.100000000000001" customHeight="1">
      <c r="A5" s="909"/>
      <c r="B5" s="909"/>
      <c r="C5" s="909"/>
      <c r="D5" s="909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919"/>
    </row>
    <row r="6" spans="1:11" s="395" customFormat="1" ht="17.100000000000001" customHeight="1">
      <c r="A6" s="910"/>
      <c r="B6" s="910"/>
      <c r="C6" s="910" t="s">
        <v>1635</v>
      </c>
      <c r="D6" s="910"/>
      <c r="E6" s="910"/>
      <c r="F6" s="374"/>
      <c r="G6" s="374"/>
      <c r="H6" s="375"/>
      <c r="I6" s="567">
        <f>SUM(I3:I5)</f>
        <v>165053.23000000001</v>
      </c>
      <c r="J6" s="919"/>
    </row>
    <row r="7" spans="1:11" s="376" customFormat="1" ht="17.100000000000001" customHeight="1">
      <c r="A7" s="909"/>
      <c r="B7" s="909"/>
      <c r="C7" s="909" t="s">
        <v>1636</v>
      </c>
      <c r="D7" s="909"/>
      <c r="E7" s="909"/>
      <c r="F7" s="397"/>
      <c r="G7" s="381"/>
      <c r="H7" s="1002">
        <v>0.1</v>
      </c>
      <c r="I7" s="1004">
        <f>H7*I6</f>
        <v>16505.323</v>
      </c>
      <c r="J7" s="919"/>
    </row>
    <row r="8" spans="1:11" s="376" customFormat="1" ht="17.100000000000001" customHeight="1">
      <c r="A8" s="909"/>
      <c r="B8" s="909"/>
      <c r="C8" s="909" t="s">
        <v>1408</v>
      </c>
      <c r="D8" s="909"/>
      <c r="E8" s="909"/>
      <c r="F8" s="397"/>
      <c r="G8" s="381"/>
      <c r="H8" s="1003"/>
      <c r="I8" s="1004" t="e">
        <f>#REF!</f>
        <v>#REF!</v>
      </c>
      <c r="J8" s="919"/>
    </row>
    <row r="9" spans="1:11" s="376" customFormat="1" ht="17.100000000000001" customHeight="1">
      <c r="A9" s="909"/>
      <c r="B9" s="909"/>
      <c r="C9" s="909" t="s">
        <v>1409</v>
      </c>
      <c r="D9" s="909"/>
      <c r="E9" s="909"/>
      <c r="F9" s="397"/>
      <c r="G9" s="381"/>
      <c r="H9" s="1003"/>
      <c r="I9" s="1004">
        <f>H9</f>
        <v>0</v>
      </c>
      <c r="J9" s="919"/>
    </row>
    <row r="10" spans="1:11" s="376" customFormat="1" ht="17.100000000000001" customHeight="1">
      <c r="A10" s="909"/>
      <c r="B10" s="909"/>
      <c r="C10" s="909" t="s">
        <v>1410</v>
      </c>
      <c r="D10" s="909"/>
      <c r="E10" s="909"/>
      <c r="F10" s="397"/>
      <c r="G10" s="381"/>
      <c r="H10" s="1003"/>
      <c r="I10" s="1004">
        <f>H10</f>
        <v>0</v>
      </c>
      <c r="J10" s="919"/>
    </row>
    <row r="11" spans="1:11" s="376" customFormat="1" ht="17.100000000000001" customHeight="1">
      <c r="A11" s="909"/>
      <c r="B11" s="909"/>
      <c r="C11" s="909" t="s">
        <v>1637</v>
      </c>
      <c r="D11" s="909"/>
      <c r="E11" s="909"/>
      <c r="F11" s="397" t="s">
        <v>1638</v>
      </c>
      <c r="G11" s="909">
        <v>6</v>
      </c>
      <c r="H11" s="1000">
        <v>1800</v>
      </c>
      <c r="I11" s="1001">
        <f>G11*H11</f>
        <v>10800</v>
      </c>
      <c r="J11" s="919"/>
    </row>
    <row r="12" spans="1:11" s="376" customFormat="1" ht="17.100000000000001" customHeight="1">
      <c r="A12" s="909"/>
      <c r="B12" s="909"/>
      <c r="C12" s="909" t="s">
        <v>1637</v>
      </c>
      <c r="D12" s="909"/>
      <c r="E12" s="909"/>
      <c r="F12" s="397" t="s">
        <v>1638</v>
      </c>
      <c r="G12" s="909"/>
      <c r="H12" s="1000"/>
      <c r="I12" s="1001"/>
      <c r="J12" s="919"/>
    </row>
    <row r="13" spans="1:11" s="376" customFormat="1" ht="17.100000000000001" customHeight="1">
      <c r="A13" s="909"/>
      <c r="B13" s="909"/>
      <c r="C13" s="910" t="s">
        <v>1639</v>
      </c>
      <c r="D13" s="910"/>
      <c r="E13" s="910"/>
      <c r="F13" s="397"/>
      <c r="G13" s="397"/>
      <c r="H13" s="381"/>
      <c r="I13" s="561">
        <f>I7+I11</f>
        <v>27305.323</v>
      </c>
      <c r="J13" s="919"/>
    </row>
    <row r="14" spans="1:11" s="482" customFormat="1" ht="17.100000000000001" customHeight="1">
      <c r="A14" s="910"/>
      <c r="B14" s="910"/>
      <c r="C14" s="910" t="s">
        <v>24</v>
      </c>
      <c r="D14" s="910"/>
      <c r="E14" s="910"/>
      <c r="F14" s="374"/>
      <c r="G14" s="374"/>
      <c r="H14" s="375"/>
      <c r="I14" s="567">
        <f>I6+I13</f>
        <v>192358.55300000001</v>
      </c>
      <c r="J14" s="919"/>
    </row>
    <row r="15" spans="1:11" ht="17.100000000000001" customHeight="1">
      <c r="A15" s="909">
        <v>2</v>
      </c>
      <c r="B15" s="909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918">
        <f>ROUND(I23*0.8,0)</f>
        <v>259801</v>
      </c>
    </row>
    <row r="16" spans="1:11" ht="17.100000000000001" customHeight="1">
      <c r="A16" s="909"/>
      <c r="B16" s="909"/>
      <c r="C16" s="910" t="s">
        <v>1635</v>
      </c>
      <c r="D16" s="910"/>
      <c r="E16" s="910"/>
      <c r="F16" s="397"/>
      <c r="G16" s="397"/>
      <c r="H16" s="483"/>
      <c r="I16" s="567">
        <f>I15</f>
        <v>281170</v>
      </c>
      <c r="J16" s="918"/>
    </row>
    <row r="17" spans="1:10" ht="17.100000000000001" customHeight="1">
      <c r="A17" s="909"/>
      <c r="B17" s="909"/>
      <c r="C17" s="909" t="s">
        <v>1636</v>
      </c>
      <c r="D17" s="909"/>
      <c r="E17" s="909"/>
      <c r="F17" s="397"/>
      <c r="G17" s="397"/>
      <c r="H17" s="1002">
        <v>0.1</v>
      </c>
      <c r="I17" s="1004">
        <f>H17*I16</f>
        <v>28117</v>
      </c>
      <c r="J17" s="918"/>
    </row>
    <row r="18" spans="1:10" ht="17.100000000000001" customHeight="1">
      <c r="A18" s="909"/>
      <c r="B18" s="909"/>
      <c r="C18" s="909" t="s">
        <v>1408</v>
      </c>
      <c r="D18" s="909"/>
      <c r="E18" s="909"/>
      <c r="F18" s="397"/>
      <c r="G18" s="397"/>
      <c r="H18" s="1003"/>
      <c r="I18" s="1004"/>
      <c r="J18" s="918"/>
    </row>
    <row r="19" spans="1:10" ht="17.100000000000001" customHeight="1">
      <c r="A19" s="909"/>
      <c r="B19" s="909"/>
      <c r="C19" s="909" t="s">
        <v>1409</v>
      </c>
      <c r="D19" s="909"/>
      <c r="E19" s="909"/>
      <c r="F19" s="397"/>
      <c r="G19" s="397"/>
      <c r="H19" s="1003"/>
      <c r="I19" s="1004"/>
      <c r="J19" s="918"/>
    </row>
    <row r="20" spans="1:10" ht="17.100000000000001" customHeight="1">
      <c r="A20" s="909"/>
      <c r="B20" s="909"/>
      <c r="C20" s="909" t="s">
        <v>1410</v>
      </c>
      <c r="D20" s="909"/>
      <c r="E20" s="909"/>
      <c r="F20" s="397"/>
      <c r="G20" s="397"/>
      <c r="H20" s="1003"/>
      <c r="I20" s="1004"/>
      <c r="J20" s="918"/>
    </row>
    <row r="21" spans="1:10" ht="17.100000000000001" customHeight="1">
      <c r="A21" s="909"/>
      <c r="B21" s="909"/>
      <c r="C21" s="910" t="s">
        <v>1639</v>
      </c>
      <c r="D21" s="910"/>
      <c r="E21" s="910"/>
      <c r="F21" s="397"/>
      <c r="G21" s="397"/>
      <c r="H21" s="381"/>
      <c r="I21" s="567">
        <f>SUM(I17:I20)</f>
        <v>28117</v>
      </c>
      <c r="J21" s="918"/>
    </row>
    <row r="22" spans="1:10" ht="17.100000000000001" customHeight="1">
      <c r="A22" s="909"/>
      <c r="B22" s="909"/>
      <c r="C22" s="910" t="s">
        <v>1641</v>
      </c>
      <c r="D22" s="910"/>
      <c r="E22" s="910"/>
      <c r="F22" s="397"/>
      <c r="G22" s="397"/>
      <c r="H22" s="484">
        <v>0.05</v>
      </c>
      <c r="I22" s="567">
        <f>(I16+I21)*5%</f>
        <v>15464.35</v>
      </c>
      <c r="J22" s="918"/>
    </row>
    <row r="23" spans="1:10" s="395" customFormat="1" ht="17.100000000000001" customHeight="1">
      <c r="A23" s="910"/>
      <c r="B23" s="910"/>
      <c r="C23" s="910" t="s">
        <v>24</v>
      </c>
      <c r="D23" s="910"/>
      <c r="E23" s="910"/>
      <c r="F23" s="374"/>
      <c r="G23" s="374"/>
      <c r="H23" s="375"/>
      <c r="I23" s="567">
        <f>SUM(I16,I21,I22)</f>
        <v>324751.34999999998</v>
      </c>
      <c r="J23" s="918"/>
    </row>
    <row r="24" spans="1:10" ht="17.100000000000001" customHeight="1">
      <c r="A24" s="909">
        <v>3</v>
      </c>
      <c r="B24" s="909" t="s">
        <v>1642</v>
      </c>
      <c r="C24" s="909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1005">
        <f>ROUND(I77*0.8,0)</f>
        <v>1100090</v>
      </c>
    </row>
    <row r="25" spans="1:10" ht="17.100000000000001" customHeight="1">
      <c r="A25" s="909"/>
      <c r="B25" s="909"/>
      <c r="C25" s="909"/>
      <c r="D25" s="909" t="s">
        <v>1646</v>
      </c>
      <c r="E25" s="909" t="s">
        <v>1647</v>
      </c>
      <c r="F25" s="909" t="s">
        <v>1479</v>
      </c>
      <c r="G25" s="397">
        <v>14</v>
      </c>
      <c r="H25" s="381">
        <v>220</v>
      </c>
      <c r="I25" s="561">
        <f t="shared" si="0"/>
        <v>3080</v>
      </c>
      <c r="J25" s="872"/>
    </row>
    <row r="26" spans="1:10" ht="17.100000000000001" customHeight="1">
      <c r="A26" s="909"/>
      <c r="B26" s="909"/>
      <c r="C26" s="909"/>
      <c r="D26" s="909"/>
      <c r="E26" s="909"/>
      <c r="F26" s="909"/>
      <c r="G26" s="397">
        <v>15</v>
      </c>
      <c r="H26" s="381">
        <v>70</v>
      </c>
      <c r="I26" s="561">
        <f t="shared" si="0"/>
        <v>1050</v>
      </c>
      <c r="J26" s="872"/>
    </row>
    <row r="27" spans="1:10" ht="17.100000000000001" customHeight="1">
      <c r="A27" s="909"/>
      <c r="B27" s="909"/>
      <c r="C27" s="909"/>
      <c r="D27" s="909"/>
      <c r="E27" s="909"/>
      <c r="F27" s="909"/>
      <c r="G27" s="397">
        <v>62.5</v>
      </c>
      <c r="H27" s="381">
        <v>45</v>
      </c>
      <c r="I27" s="561">
        <f t="shared" si="0"/>
        <v>2812.5</v>
      </c>
      <c r="J27" s="872"/>
    </row>
    <row r="28" spans="1:10" ht="17.100000000000001" customHeight="1">
      <c r="A28" s="909"/>
      <c r="B28" s="909"/>
      <c r="C28" s="909"/>
      <c r="D28" s="909"/>
      <c r="E28" s="909"/>
      <c r="F28" s="909"/>
      <c r="G28" s="397">
        <v>0</v>
      </c>
      <c r="H28" s="381">
        <v>150</v>
      </c>
      <c r="I28" s="561">
        <f t="shared" si="0"/>
        <v>0</v>
      </c>
      <c r="J28" s="872"/>
    </row>
    <row r="29" spans="1:10" ht="17.100000000000001" customHeight="1">
      <c r="A29" s="909"/>
      <c r="B29" s="909"/>
      <c r="C29" s="909"/>
      <c r="D29" s="909"/>
      <c r="E29" s="909" t="s">
        <v>1648</v>
      </c>
      <c r="F29" s="909"/>
      <c r="G29" s="397">
        <v>200</v>
      </c>
      <c r="H29" s="381">
        <v>225</v>
      </c>
      <c r="I29" s="561">
        <f t="shared" si="0"/>
        <v>45000</v>
      </c>
      <c r="J29" s="872"/>
    </row>
    <row r="30" spans="1:10" ht="17.100000000000001" customHeight="1">
      <c r="A30" s="909"/>
      <c r="B30" s="909"/>
      <c r="C30" s="909"/>
      <c r="D30" s="909"/>
      <c r="E30" s="909"/>
      <c r="F30" s="909"/>
      <c r="G30" s="397">
        <v>275</v>
      </c>
      <c r="H30" s="381">
        <v>45</v>
      </c>
      <c r="I30" s="561">
        <f t="shared" si="0"/>
        <v>12375</v>
      </c>
      <c r="J30" s="872"/>
    </row>
    <row r="31" spans="1:10" ht="17.100000000000001" customHeight="1">
      <c r="A31" s="909"/>
      <c r="B31" s="909"/>
      <c r="C31" s="909"/>
      <c r="D31" s="909"/>
      <c r="E31" s="909"/>
      <c r="F31" s="909"/>
      <c r="G31" s="397">
        <v>200</v>
      </c>
      <c r="H31" s="381">
        <v>200</v>
      </c>
      <c r="I31" s="561">
        <f t="shared" si="0"/>
        <v>40000</v>
      </c>
      <c r="J31" s="872"/>
    </row>
    <row r="32" spans="1:10" ht="17.100000000000001" customHeight="1">
      <c r="A32" s="909"/>
      <c r="B32" s="909"/>
      <c r="C32" s="909"/>
      <c r="D32" s="909"/>
      <c r="E32" s="909"/>
      <c r="F32" s="909"/>
      <c r="G32" s="397">
        <v>200</v>
      </c>
      <c r="H32" s="381">
        <v>190</v>
      </c>
      <c r="I32" s="561">
        <f t="shared" si="0"/>
        <v>38000</v>
      </c>
      <c r="J32" s="872"/>
    </row>
    <row r="33" spans="1:10" ht="17.100000000000001" customHeight="1">
      <c r="A33" s="909"/>
      <c r="B33" s="909"/>
      <c r="C33" s="909"/>
      <c r="D33" s="909" t="s">
        <v>1649</v>
      </c>
      <c r="E33" s="909" t="s">
        <v>1650</v>
      </c>
      <c r="F33" s="909" t="s">
        <v>1479</v>
      </c>
      <c r="G33" s="397">
        <v>0</v>
      </c>
      <c r="H33" s="381">
        <v>200</v>
      </c>
      <c r="I33" s="561">
        <f t="shared" si="0"/>
        <v>0</v>
      </c>
      <c r="J33" s="872"/>
    </row>
    <row r="34" spans="1:10" ht="17.100000000000001" customHeight="1">
      <c r="A34" s="909"/>
      <c r="B34" s="909"/>
      <c r="C34" s="909"/>
      <c r="D34" s="909"/>
      <c r="E34" s="909"/>
      <c r="F34" s="909"/>
      <c r="G34" s="397">
        <v>110</v>
      </c>
      <c r="H34" s="381">
        <v>200</v>
      </c>
      <c r="I34" s="561">
        <f t="shared" si="0"/>
        <v>22000</v>
      </c>
      <c r="J34" s="872"/>
    </row>
    <row r="35" spans="1:10" ht="17.100000000000001" customHeight="1">
      <c r="A35" s="909"/>
      <c r="B35" s="909"/>
      <c r="C35" s="909"/>
      <c r="D35" s="909"/>
      <c r="E35" s="909"/>
      <c r="F35" s="909"/>
      <c r="G35" s="397">
        <v>0</v>
      </c>
      <c r="H35" s="381">
        <v>45</v>
      </c>
      <c r="I35" s="561">
        <f t="shared" si="0"/>
        <v>0</v>
      </c>
      <c r="J35" s="872"/>
    </row>
    <row r="36" spans="1:10" ht="17.100000000000001" customHeight="1">
      <c r="A36" s="909"/>
      <c r="B36" s="909"/>
      <c r="C36" s="909"/>
      <c r="D36" s="909"/>
      <c r="E36" s="909"/>
      <c r="F36" s="909"/>
      <c r="G36" s="397">
        <v>0</v>
      </c>
      <c r="H36" s="381">
        <v>150</v>
      </c>
      <c r="I36" s="561">
        <f t="shared" si="0"/>
        <v>0</v>
      </c>
      <c r="J36" s="872"/>
    </row>
    <row r="37" spans="1:10" ht="17.100000000000001" customHeight="1">
      <c r="A37" s="909"/>
      <c r="B37" s="909"/>
      <c r="C37" s="909"/>
      <c r="D37" s="909"/>
      <c r="E37" s="909" t="s">
        <v>1651</v>
      </c>
      <c r="F37" s="909" t="s">
        <v>1479</v>
      </c>
      <c r="G37" s="397">
        <v>0</v>
      </c>
      <c r="H37" s="381">
        <v>230</v>
      </c>
      <c r="I37" s="561">
        <f t="shared" si="0"/>
        <v>0</v>
      </c>
      <c r="J37" s="872"/>
    </row>
    <row r="38" spans="1:10" ht="17.100000000000001" customHeight="1">
      <c r="A38" s="909"/>
      <c r="B38" s="909"/>
      <c r="C38" s="909"/>
      <c r="D38" s="909"/>
      <c r="E38" s="909"/>
      <c r="F38" s="909"/>
      <c r="G38" s="397">
        <v>340</v>
      </c>
      <c r="H38" s="381">
        <v>250</v>
      </c>
      <c r="I38" s="561">
        <f t="shared" si="0"/>
        <v>85000</v>
      </c>
      <c r="J38" s="872"/>
    </row>
    <row r="39" spans="1:10" ht="17.100000000000001" customHeight="1">
      <c r="A39" s="909"/>
      <c r="B39" s="909"/>
      <c r="C39" s="909"/>
      <c r="D39" s="909"/>
      <c r="E39" s="909"/>
      <c r="F39" s="909"/>
      <c r="G39" s="397">
        <v>75</v>
      </c>
      <c r="H39" s="381">
        <v>45</v>
      </c>
      <c r="I39" s="561">
        <f t="shared" si="0"/>
        <v>3375</v>
      </c>
      <c r="J39" s="872"/>
    </row>
    <row r="40" spans="1:10" ht="17.100000000000001" customHeight="1">
      <c r="A40" s="909"/>
      <c r="B40" s="909"/>
      <c r="C40" s="909"/>
      <c r="D40" s="909"/>
      <c r="E40" s="909"/>
      <c r="F40" s="909"/>
      <c r="G40" s="397">
        <v>0</v>
      </c>
      <c r="H40" s="381">
        <v>180</v>
      </c>
      <c r="I40" s="561">
        <f t="shared" si="0"/>
        <v>0</v>
      </c>
      <c r="J40" s="872"/>
    </row>
    <row r="41" spans="1:10" ht="17.100000000000001" customHeight="1">
      <c r="A41" s="909"/>
      <c r="B41" s="909"/>
      <c r="C41" s="909"/>
      <c r="D41" s="909"/>
      <c r="E41" s="909"/>
      <c r="F41" s="909"/>
      <c r="G41" s="397">
        <v>0</v>
      </c>
      <c r="H41" s="381">
        <v>200</v>
      </c>
      <c r="I41" s="561">
        <f t="shared" si="0"/>
        <v>0</v>
      </c>
      <c r="J41" s="872"/>
    </row>
    <row r="42" spans="1:10" ht="17.100000000000001" customHeight="1">
      <c r="A42" s="909"/>
      <c r="B42" s="909"/>
      <c r="C42" s="909"/>
      <c r="D42" s="909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872"/>
    </row>
    <row r="43" spans="1:10" ht="17.100000000000001" customHeight="1">
      <c r="A43" s="909"/>
      <c r="B43" s="909"/>
      <c r="C43" s="909"/>
      <c r="D43" s="909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872"/>
    </row>
    <row r="44" spans="1:10" s="376" customFormat="1" ht="17.100000000000001" customHeight="1">
      <c r="A44" s="909"/>
      <c r="B44" s="909"/>
      <c r="C44" s="909"/>
      <c r="D44" s="909" t="s">
        <v>1655</v>
      </c>
      <c r="E44" s="909" t="s">
        <v>1656</v>
      </c>
      <c r="F44" s="909" t="s">
        <v>1479</v>
      </c>
      <c r="G44" s="397">
        <v>120</v>
      </c>
      <c r="H44" s="381">
        <v>250</v>
      </c>
      <c r="I44" s="561">
        <f t="shared" si="0"/>
        <v>30000</v>
      </c>
      <c r="J44" s="872"/>
    </row>
    <row r="45" spans="1:10" ht="17.100000000000001" customHeight="1">
      <c r="A45" s="909"/>
      <c r="B45" s="909"/>
      <c r="C45" s="909"/>
      <c r="D45" s="909"/>
      <c r="E45" s="909"/>
      <c r="F45" s="909"/>
      <c r="G45" s="379">
        <v>200</v>
      </c>
      <c r="H45" s="381">
        <v>60</v>
      </c>
      <c r="I45" s="561">
        <f t="shared" si="0"/>
        <v>12000</v>
      </c>
      <c r="J45" s="872"/>
    </row>
    <row r="46" spans="1:10" ht="17.100000000000001" customHeight="1">
      <c r="A46" s="909"/>
      <c r="B46" s="909"/>
      <c r="C46" s="909"/>
      <c r="D46" s="909"/>
      <c r="E46" s="909"/>
      <c r="F46" s="909"/>
      <c r="G46" s="379">
        <v>238</v>
      </c>
      <c r="H46" s="381">
        <v>200</v>
      </c>
      <c r="I46" s="561">
        <f t="shared" si="0"/>
        <v>47600</v>
      </c>
      <c r="J46" s="872"/>
    </row>
    <row r="47" spans="1:10" ht="17.100000000000001" customHeight="1">
      <c r="A47" s="909"/>
      <c r="B47" s="909"/>
      <c r="C47" s="909"/>
      <c r="D47" s="909"/>
      <c r="E47" s="909"/>
      <c r="F47" s="909"/>
      <c r="G47" s="379">
        <v>6</v>
      </c>
      <c r="H47" s="397">
        <v>1600</v>
      </c>
      <c r="I47" s="561">
        <f t="shared" si="0"/>
        <v>9600</v>
      </c>
      <c r="J47" s="872"/>
    </row>
    <row r="48" spans="1:10" ht="17.100000000000001" customHeight="1">
      <c r="A48" s="909"/>
      <c r="B48" s="909"/>
      <c r="C48" s="909"/>
      <c r="D48" s="909"/>
      <c r="E48" s="909"/>
      <c r="F48" s="909"/>
      <c r="G48" s="379">
        <v>114</v>
      </c>
      <c r="H48" s="397">
        <v>280</v>
      </c>
      <c r="I48" s="561">
        <f t="shared" si="0"/>
        <v>31920</v>
      </c>
      <c r="J48" s="872"/>
    </row>
    <row r="49" spans="1:10" ht="17.100000000000001" customHeight="1">
      <c r="A49" s="909"/>
      <c r="B49" s="909"/>
      <c r="C49" s="909"/>
      <c r="D49" s="909"/>
      <c r="E49" s="909"/>
      <c r="F49" s="909"/>
      <c r="G49" s="379">
        <v>442</v>
      </c>
      <c r="H49" s="397">
        <v>56.5</v>
      </c>
      <c r="I49" s="561">
        <f t="shared" si="0"/>
        <v>24973</v>
      </c>
      <c r="J49" s="872"/>
    </row>
    <row r="50" spans="1:10" ht="17.100000000000001" customHeight="1">
      <c r="A50" s="909"/>
      <c r="B50" s="909"/>
      <c r="C50" s="909"/>
      <c r="D50" s="909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872"/>
    </row>
    <row r="51" spans="1:10" ht="17.100000000000001" customHeight="1">
      <c r="A51" s="909"/>
      <c r="B51" s="909"/>
      <c r="C51" s="909"/>
      <c r="D51" s="909"/>
      <c r="E51" s="909" t="s">
        <v>1658</v>
      </c>
      <c r="F51" s="909" t="s">
        <v>1479</v>
      </c>
      <c r="G51" s="381">
        <v>50</v>
      </c>
      <c r="H51" s="381">
        <v>50</v>
      </c>
      <c r="I51" s="561">
        <f t="shared" si="0"/>
        <v>2500</v>
      </c>
      <c r="J51" s="872"/>
    </row>
    <row r="52" spans="1:10" ht="17.100000000000001" customHeight="1">
      <c r="A52" s="909"/>
      <c r="B52" s="909"/>
      <c r="C52" s="909"/>
      <c r="D52" s="909"/>
      <c r="E52" s="909"/>
      <c r="F52" s="909"/>
      <c r="G52" s="381">
        <v>83.5</v>
      </c>
      <c r="H52" s="381">
        <v>200</v>
      </c>
      <c r="I52" s="561">
        <f t="shared" si="0"/>
        <v>16700</v>
      </c>
      <c r="J52" s="872"/>
    </row>
    <row r="53" spans="1:10" ht="17.100000000000001" customHeight="1">
      <c r="A53" s="909"/>
      <c r="B53" s="909"/>
      <c r="C53" s="909"/>
      <c r="D53" s="909"/>
      <c r="E53" s="909"/>
      <c r="F53" s="909"/>
      <c r="G53" s="381">
        <v>10</v>
      </c>
      <c r="H53" s="381">
        <v>150</v>
      </c>
      <c r="I53" s="561">
        <f t="shared" si="0"/>
        <v>1500</v>
      </c>
      <c r="J53" s="872"/>
    </row>
    <row r="54" spans="1:10" ht="17.100000000000001" customHeight="1">
      <c r="A54" s="909"/>
      <c r="B54" s="909"/>
      <c r="C54" s="909"/>
      <c r="D54" s="909"/>
      <c r="E54" s="909"/>
      <c r="F54" s="909"/>
      <c r="G54" s="381">
        <v>100</v>
      </c>
      <c r="H54" s="381">
        <v>45</v>
      </c>
      <c r="I54" s="561">
        <f t="shared" si="0"/>
        <v>4500</v>
      </c>
      <c r="J54" s="872"/>
    </row>
    <row r="55" spans="1:10" ht="17.100000000000001" customHeight="1">
      <c r="A55" s="909"/>
      <c r="B55" s="909"/>
      <c r="C55" s="909"/>
      <c r="D55" s="909"/>
      <c r="E55" s="909"/>
      <c r="F55" s="909"/>
      <c r="G55" s="381">
        <v>20</v>
      </c>
      <c r="H55" s="381">
        <v>200</v>
      </c>
      <c r="I55" s="561">
        <f t="shared" si="0"/>
        <v>4000</v>
      </c>
      <c r="J55" s="872"/>
    </row>
    <row r="56" spans="1:10" ht="17.100000000000001" customHeight="1">
      <c r="A56" s="909"/>
      <c r="B56" s="909"/>
      <c r="C56" s="909"/>
      <c r="D56" s="909"/>
      <c r="E56" s="909"/>
      <c r="F56" s="909"/>
      <c r="G56" s="381">
        <v>82</v>
      </c>
      <c r="H56" s="379">
        <v>200</v>
      </c>
      <c r="I56" s="561">
        <f t="shared" si="0"/>
        <v>16400</v>
      </c>
      <c r="J56" s="872"/>
    </row>
    <row r="57" spans="1:10" ht="17.100000000000001" customHeight="1">
      <c r="A57" s="909"/>
      <c r="B57" s="909"/>
      <c r="C57" s="909"/>
      <c r="D57" s="909"/>
      <c r="E57" s="909"/>
      <c r="F57" s="909"/>
      <c r="G57" s="381">
        <v>150</v>
      </c>
      <c r="H57" s="381">
        <v>45</v>
      </c>
      <c r="I57" s="561">
        <f t="shared" si="0"/>
        <v>6750</v>
      </c>
      <c r="J57" s="872"/>
    </row>
    <row r="58" spans="1:10" ht="17.100000000000001" customHeight="1">
      <c r="A58" s="909"/>
      <c r="B58" s="909"/>
      <c r="C58" s="909"/>
      <c r="D58" s="909"/>
      <c r="E58" s="909"/>
      <c r="F58" s="909"/>
      <c r="G58" s="381">
        <v>65</v>
      </c>
      <c r="H58" s="381">
        <v>260</v>
      </c>
      <c r="I58" s="561">
        <f t="shared" si="0"/>
        <v>16900</v>
      </c>
      <c r="J58" s="872"/>
    </row>
    <row r="59" spans="1:10" ht="17.100000000000001" customHeight="1">
      <c r="A59" s="909"/>
      <c r="B59" s="909"/>
      <c r="C59" s="909"/>
      <c r="D59" s="909"/>
      <c r="E59" s="909"/>
      <c r="F59" s="909"/>
      <c r="G59" s="381">
        <v>50</v>
      </c>
      <c r="H59" s="381">
        <v>280</v>
      </c>
      <c r="I59" s="561">
        <f t="shared" si="0"/>
        <v>14000</v>
      </c>
      <c r="J59" s="872"/>
    </row>
    <row r="60" spans="1:10" ht="17.100000000000001" customHeight="1">
      <c r="A60" s="909"/>
      <c r="B60" s="909"/>
      <c r="C60" s="909"/>
      <c r="D60" s="909"/>
      <c r="E60" s="909" t="s">
        <v>1659</v>
      </c>
      <c r="F60" s="909" t="s">
        <v>1479</v>
      </c>
      <c r="G60" s="381">
        <v>25</v>
      </c>
      <c r="H60" s="381">
        <v>200</v>
      </c>
      <c r="I60" s="561">
        <f t="shared" si="0"/>
        <v>5000</v>
      </c>
      <c r="J60" s="872"/>
    </row>
    <row r="61" spans="1:10" ht="17.100000000000001" customHeight="1">
      <c r="A61" s="909"/>
      <c r="B61" s="909"/>
      <c r="C61" s="909"/>
      <c r="D61" s="909"/>
      <c r="E61" s="909"/>
      <c r="F61" s="909"/>
      <c r="G61" s="381">
        <v>0</v>
      </c>
      <c r="H61" s="381">
        <v>200</v>
      </c>
      <c r="I61" s="561">
        <f t="shared" si="0"/>
        <v>0</v>
      </c>
      <c r="J61" s="872"/>
    </row>
    <row r="62" spans="1:10" ht="17.100000000000001" customHeight="1">
      <c r="A62" s="909"/>
      <c r="B62" s="909"/>
      <c r="C62" s="909"/>
      <c r="D62" s="909"/>
      <c r="E62" s="909"/>
      <c r="F62" s="909"/>
      <c r="G62" s="381">
        <v>0</v>
      </c>
      <c r="H62" s="381">
        <v>220</v>
      </c>
      <c r="I62" s="561">
        <f t="shared" si="0"/>
        <v>0</v>
      </c>
      <c r="J62" s="872"/>
    </row>
    <row r="63" spans="1:10" ht="17.100000000000001" customHeight="1">
      <c r="A63" s="909"/>
      <c r="B63" s="909"/>
      <c r="C63" s="909"/>
      <c r="D63" s="909"/>
      <c r="E63" s="909"/>
      <c r="F63" s="909"/>
      <c r="G63" s="381">
        <v>0</v>
      </c>
      <c r="H63" s="381">
        <v>45</v>
      </c>
      <c r="I63" s="561">
        <f t="shared" si="0"/>
        <v>0</v>
      </c>
      <c r="J63" s="872"/>
    </row>
    <row r="64" spans="1:10" ht="17.100000000000001" customHeight="1">
      <c r="A64" s="909"/>
      <c r="B64" s="909"/>
      <c r="C64" s="909"/>
      <c r="D64" s="909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872"/>
    </row>
    <row r="65" spans="1:10" ht="17.100000000000001" customHeight="1">
      <c r="A65" s="909"/>
      <c r="B65" s="909"/>
      <c r="C65" s="909"/>
      <c r="D65" s="909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872"/>
    </row>
    <row r="66" spans="1:10" ht="17.100000000000001" customHeight="1">
      <c r="A66" s="909"/>
      <c r="B66" s="909"/>
      <c r="C66" s="909"/>
      <c r="D66" s="909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872"/>
    </row>
    <row r="67" spans="1:10" ht="17.100000000000001" customHeight="1">
      <c r="A67" s="909"/>
      <c r="B67" s="909"/>
      <c r="C67" s="909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872"/>
    </row>
    <row r="68" spans="1:10" s="395" customFormat="1" ht="17.100000000000001" customHeight="1">
      <c r="A68" s="910"/>
      <c r="B68" s="910"/>
      <c r="C68" s="910" t="s">
        <v>1635</v>
      </c>
      <c r="D68" s="910"/>
      <c r="E68" s="910"/>
      <c r="F68" s="374"/>
      <c r="G68" s="374"/>
      <c r="H68" s="375"/>
      <c r="I68" s="567">
        <f>SUM(I24:I67)</f>
        <v>1184647.22</v>
      </c>
      <c r="J68" s="872"/>
    </row>
    <row r="69" spans="1:10" ht="17.100000000000001" customHeight="1">
      <c r="A69" s="909"/>
      <c r="B69" s="909"/>
      <c r="C69" s="909" t="s">
        <v>1407</v>
      </c>
      <c r="D69" s="909"/>
      <c r="E69" s="909"/>
      <c r="F69" s="397"/>
      <c r="G69" s="397">
        <v>0</v>
      </c>
      <c r="H69" s="1003">
        <v>0.1</v>
      </c>
      <c r="I69" s="1004">
        <f>H69*I68</f>
        <v>118464.72200000001</v>
      </c>
      <c r="J69" s="872"/>
    </row>
    <row r="70" spans="1:10" ht="17.100000000000001" customHeight="1">
      <c r="A70" s="909"/>
      <c r="B70" s="909"/>
      <c r="C70" s="909" t="s">
        <v>1636</v>
      </c>
      <c r="D70" s="909"/>
      <c r="E70" s="909"/>
      <c r="F70" s="397"/>
      <c r="G70" s="397">
        <v>0</v>
      </c>
      <c r="H70" s="1003"/>
      <c r="I70" s="1004">
        <f>H70*G70</f>
        <v>0</v>
      </c>
      <c r="J70" s="872"/>
    </row>
    <row r="71" spans="1:10" ht="17.100000000000001" customHeight="1">
      <c r="A71" s="909"/>
      <c r="B71" s="909"/>
      <c r="C71" s="909" t="s">
        <v>1408</v>
      </c>
      <c r="D71" s="909"/>
      <c r="E71" s="909"/>
      <c r="F71" s="397"/>
      <c r="G71" s="397">
        <v>0</v>
      </c>
      <c r="H71" s="1003"/>
      <c r="I71" s="1004" t="e">
        <f>#REF!</f>
        <v>#REF!</v>
      </c>
      <c r="J71" s="872"/>
    </row>
    <row r="72" spans="1:10" ht="17.100000000000001" customHeight="1">
      <c r="A72" s="909"/>
      <c r="B72" s="909"/>
      <c r="C72" s="909" t="s">
        <v>1409</v>
      </c>
      <c r="D72" s="909"/>
      <c r="E72" s="909"/>
      <c r="F72" s="397"/>
      <c r="G72" s="397"/>
      <c r="H72" s="1003"/>
      <c r="I72" s="1004">
        <f>H72</f>
        <v>0</v>
      </c>
      <c r="J72" s="872"/>
    </row>
    <row r="73" spans="1:10" ht="17.100000000000001" customHeight="1">
      <c r="A73" s="909"/>
      <c r="B73" s="909"/>
      <c r="C73" s="909" t="s">
        <v>1410</v>
      </c>
      <c r="D73" s="909"/>
      <c r="E73" s="909"/>
      <c r="F73" s="397"/>
      <c r="G73" s="397"/>
      <c r="H73" s="1003"/>
      <c r="I73" s="1004">
        <f>H73</f>
        <v>0</v>
      </c>
      <c r="J73" s="872"/>
    </row>
    <row r="74" spans="1:10" ht="17.100000000000001" customHeight="1">
      <c r="A74" s="909"/>
      <c r="B74" s="909"/>
      <c r="C74" s="909" t="s">
        <v>1637</v>
      </c>
      <c r="D74" s="909"/>
      <c r="E74" s="909"/>
      <c r="F74" s="397" t="s">
        <v>1638</v>
      </c>
      <c r="G74" s="909">
        <v>40</v>
      </c>
      <c r="H74" s="1000">
        <v>1800</v>
      </c>
      <c r="I74" s="1001">
        <f t="shared" ref="I74:I86" si="1">G74*H74</f>
        <v>72000</v>
      </c>
      <c r="J74" s="872"/>
    </row>
    <row r="75" spans="1:10" ht="17.100000000000001" customHeight="1">
      <c r="A75" s="909"/>
      <c r="B75" s="909"/>
      <c r="C75" s="909" t="s">
        <v>1637</v>
      </c>
      <c r="D75" s="909"/>
      <c r="E75" s="909"/>
      <c r="F75" s="397" t="s">
        <v>1638</v>
      </c>
      <c r="G75" s="909"/>
      <c r="H75" s="1000"/>
      <c r="I75" s="1001"/>
      <c r="J75" s="872"/>
    </row>
    <row r="76" spans="1:10" ht="17.100000000000001" customHeight="1">
      <c r="A76" s="909"/>
      <c r="B76" s="909"/>
      <c r="C76" s="910" t="s">
        <v>1639</v>
      </c>
      <c r="D76" s="910"/>
      <c r="E76" s="910"/>
      <c r="F76" s="397"/>
      <c r="G76" s="397"/>
      <c r="H76" s="381"/>
      <c r="I76" s="561">
        <f>I69+I74</f>
        <v>190464.72200000001</v>
      </c>
      <c r="J76" s="872"/>
    </row>
    <row r="77" spans="1:10" s="482" customFormat="1" ht="17.100000000000001" customHeight="1">
      <c r="A77" s="910"/>
      <c r="B77" s="910"/>
      <c r="C77" s="910" t="s">
        <v>24</v>
      </c>
      <c r="D77" s="910"/>
      <c r="E77" s="910"/>
      <c r="F77" s="374"/>
      <c r="G77" s="374"/>
      <c r="H77" s="375"/>
      <c r="I77" s="567">
        <f>I68+I76</f>
        <v>1375111.942</v>
      </c>
      <c r="J77" s="872"/>
    </row>
    <row r="78" spans="1:10" ht="17.100000000000001" customHeight="1">
      <c r="A78" s="909">
        <v>4</v>
      </c>
      <c r="B78" s="909" t="s">
        <v>1666</v>
      </c>
      <c r="C78" s="909" t="s">
        <v>1369</v>
      </c>
      <c r="D78" s="909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918">
        <f>ROUND(I95*0.8,0)</f>
        <v>165538</v>
      </c>
    </row>
    <row r="79" spans="1:10" ht="17.100000000000001" customHeight="1">
      <c r="A79" s="909"/>
      <c r="B79" s="909"/>
      <c r="C79" s="909"/>
      <c r="D79" s="909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872"/>
    </row>
    <row r="80" spans="1:10" ht="17.100000000000001" customHeight="1">
      <c r="A80" s="909"/>
      <c r="B80" s="909"/>
      <c r="C80" s="909"/>
      <c r="D80" s="909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872"/>
    </row>
    <row r="81" spans="1:17" ht="17.100000000000001" customHeight="1">
      <c r="A81" s="909"/>
      <c r="B81" s="909"/>
      <c r="C81" s="909"/>
      <c r="D81" s="909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872"/>
    </row>
    <row r="82" spans="1:17" ht="17.100000000000001" customHeight="1">
      <c r="A82" s="909"/>
      <c r="B82" s="909"/>
      <c r="C82" s="909"/>
      <c r="D82" s="909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872"/>
    </row>
    <row r="83" spans="1:17" ht="17.100000000000001" customHeight="1">
      <c r="A83" s="909"/>
      <c r="B83" s="909"/>
      <c r="C83" s="909"/>
      <c r="D83" s="909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872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909"/>
      <c r="B84" s="909"/>
      <c r="C84" s="909"/>
      <c r="D84" s="909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872"/>
    </row>
    <row r="85" spans="1:17" ht="17.100000000000001" customHeight="1">
      <c r="A85" s="909"/>
      <c r="B85" s="909"/>
      <c r="C85" s="909"/>
      <c r="D85" s="909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872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909"/>
      <c r="B86" s="909"/>
      <c r="C86" s="909"/>
      <c r="D86" s="909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872"/>
    </row>
    <row r="87" spans="1:17" s="395" customFormat="1" ht="17.100000000000001" customHeight="1">
      <c r="A87" s="910"/>
      <c r="B87" s="910"/>
      <c r="C87" s="910" t="s">
        <v>1635</v>
      </c>
      <c r="D87" s="910"/>
      <c r="E87" s="910"/>
      <c r="F87" s="374"/>
      <c r="G87" s="374"/>
      <c r="H87" s="375"/>
      <c r="I87" s="567">
        <f>SUM(I78:I86)</f>
        <v>180475</v>
      </c>
      <c r="J87" s="872"/>
    </row>
    <row r="88" spans="1:17" ht="17.100000000000001" customHeight="1">
      <c r="A88" s="909"/>
      <c r="B88" s="909"/>
      <c r="C88" s="909" t="s">
        <v>1636</v>
      </c>
      <c r="D88" s="909"/>
      <c r="E88" s="909"/>
      <c r="F88" s="397"/>
      <c r="G88" s="397">
        <v>0</v>
      </c>
      <c r="H88" s="1003">
        <v>0.1</v>
      </c>
      <c r="I88" s="1004">
        <f>H88*I87</f>
        <v>18047.5</v>
      </c>
      <c r="J88" s="872"/>
    </row>
    <row r="89" spans="1:17" ht="17.100000000000001" customHeight="1">
      <c r="A89" s="909"/>
      <c r="B89" s="909"/>
      <c r="C89" s="909" t="s">
        <v>1408</v>
      </c>
      <c r="D89" s="909"/>
      <c r="E89" s="909"/>
      <c r="F89" s="397"/>
      <c r="G89" s="397">
        <v>0</v>
      </c>
      <c r="H89" s="1003"/>
      <c r="I89" s="1004"/>
      <c r="J89" s="872"/>
    </row>
    <row r="90" spans="1:17" ht="17.100000000000001" customHeight="1">
      <c r="A90" s="909"/>
      <c r="B90" s="909"/>
      <c r="C90" s="909" t="s">
        <v>1409</v>
      </c>
      <c r="D90" s="909"/>
      <c r="E90" s="909"/>
      <c r="F90" s="397"/>
      <c r="G90" s="397"/>
      <c r="H90" s="1003"/>
      <c r="I90" s="1004"/>
      <c r="J90" s="872"/>
    </row>
    <row r="91" spans="1:17" ht="17.100000000000001" customHeight="1">
      <c r="A91" s="909"/>
      <c r="B91" s="909"/>
      <c r="C91" s="909" t="s">
        <v>1410</v>
      </c>
      <c r="D91" s="909"/>
      <c r="E91" s="909"/>
      <c r="F91" s="397"/>
      <c r="G91" s="397"/>
      <c r="H91" s="1003"/>
      <c r="I91" s="1004"/>
      <c r="J91" s="872"/>
    </row>
    <row r="92" spans="1:17" ht="17.100000000000001" customHeight="1">
      <c r="A92" s="909"/>
      <c r="B92" s="909"/>
      <c r="C92" s="909" t="s">
        <v>1637</v>
      </c>
      <c r="D92" s="909"/>
      <c r="E92" s="909"/>
      <c r="F92" s="397" t="s">
        <v>1638</v>
      </c>
      <c r="G92" s="909">
        <v>4</v>
      </c>
      <c r="H92" s="1000">
        <v>2100</v>
      </c>
      <c r="I92" s="1001">
        <f t="shared" ref="I92:I98" si="2">G92*H92</f>
        <v>8400</v>
      </c>
      <c r="J92" s="872"/>
    </row>
    <row r="93" spans="1:17" ht="17.100000000000001" customHeight="1">
      <c r="A93" s="909"/>
      <c r="B93" s="909"/>
      <c r="C93" s="909" t="s">
        <v>1637</v>
      </c>
      <c r="D93" s="909"/>
      <c r="E93" s="909"/>
      <c r="F93" s="397" t="s">
        <v>1638</v>
      </c>
      <c r="G93" s="909"/>
      <c r="H93" s="1000"/>
      <c r="I93" s="1001"/>
      <c r="J93" s="872"/>
    </row>
    <row r="94" spans="1:17" s="395" customFormat="1" ht="17.100000000000001" customHeight="1">
      <c r="A94" s="910"/>
      <c r="B94" s="910"/>
      <c r="C94" s="910" t="s">
        <v>1639</v>
      </c>
      <c r="D94" s="910"/>
      <c r="E94" s="910"/>
      <c r="F94" s="374"/>
      <c r="G94" s="374"/>
      <c r="H94" s="375"/>
      <c r="I94" s="567">
        <f>SUM(I88:I93)</f>
        <v>26447.5</v>
      </c>
      <c r="J94" s="872"/>
    </row>
    <row r="95" spans="1:17" s="395" customFormat="1" ht="17.100000000000001" customHeight="1">
      <c r="A95" s="910"/>
      <c r="B95" s="910"/>
      <c r="C95" s="910" t="s">
        <v>24</v>
      </c>
      <c r="D95" s="910"/>
      <c r="E95" s="910"/>
      <c r="F95" s="374"/>
      <c r="G95" s="374"/>
      <c r="H95" s="375"/>
      <c r="I95" s="567">
        <f>I87+I94</f>
        <v>206922.5</v>
      </c>
      <c r="J95" s="872"/>
    </row>
    <row r="96" spans="1:17" ht="17.100000000000001" customHeight="1">
      <c r="A96" s="909">
        <v>5</v>
      </c>
      <c r="B96" s="909" t="s">
        <v>887</v>
      </c>
      <c r="C96" s="909" t="s">
        <v>1369</v>
      </c>
      <c r="D96" s="909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918">
        <f>ROUND(I107*0.8,0)</f>
        <v>261056</v>
      </c>
    </row>
    <row r="97" spans="1:10" ht="17.100000000000001" customHeight="1">
      <c r="A97" s="909"/>
      <c r="B97" s="909"/>
      <c r="C97" s="909"/>
      <c r="D97" s="909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918"/>
    </row>
    <row r="98" spans="1:10" ht="17.100000000000001" customHeight="1">
      <c r="A98" s="909"/>
      <c r="B98" s="909"/>
      <c r="C98" s="909"/>
      <c r="D98" s="909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918"/>
    </row>
    <row r="99" spans="1:10" s="395" customFormat="1" ht="17.100000000000001" customHeight="1">
      <c r="A99" s="910"/>
      <c r="B99" s="910"/>
      <c r="C99" s="910" t="s">
        <v>1635</v>
      </c>
      <c r="D99" s="910"/>
      <c r="E99" s="910"/>
      <c r="F99" s="374"/>
      <c r="G99" s="374"/>
      <c r="H99" s="375"/>
      <c r="I99" s="567">
        <f>SUM(I96:I98)</f>
        <v>285200</v>
      </c>
      <c r="J99" s="918"/>
    </row>
    <row r="100" spans="1:10" ht="17.100000000000001" customHeight="1">
      <c r="A100" s="909"/>
      <c r="B100" s="909"/>
      <c r="C100" s="909" t="s">
        <v>1636</v>
      </c>
      <c r="D100" s="909"/>
      <c r="E100" s="909"/>
      <c r="F100" s="397"/>
      <c r="G100" s="379">
        <v>0</v>
      </c>
      <c r="H100" s="1003">
        <v>0.1</v>
      </c>
      <c r="I100" s="1004">
        <f>H100*I99</f>
        <v>28520</v>
      </c>
      <c r="J100" s="918"/>
    </row>
    <row r="101" spans="1:10" ht="17.100000000000001" customHeight="1">
      <c r="A101" s="909"/>
      <c r="B101" s="909"/>
      <c r="C101" s="909" t="s">
        <v>1408</v>
      </c>
      <c r="D101" s="909"/>
      <c r="E101" s="909"/>
      <c r="F101" s="397"/>
      <c r="G101" s="379">
        <v>0</v>
      </c>
      <c r="H101" s="1003"/>
      <c r="I101" s="1004"/>
      <c r="J101" s="918"/>
    </row>
    <row r="102" spans="1:10" ht="17.100000000000001" customHeight="1">
      <c r="A102" s="909"/>
      <c r="B102" s="909"/>
      <c r="C102" s="909" t="s">
        <v>1409</v>
      </c>
      <c r="D102" s="909"/>
      <c r="E102" s="909"/>
      <c r="F102" s="397"/>
      <c r="G102" s="379"/>
      <c r="H102" s="1003"/>
      <c r="I102" s="1004"/>
      <c r="J102" s="918"/>
    </row>
    <row r="103" spans="1:10" ht="17.100000000000001" customHeight="1">
      <c r="A103" s="909"/>
      <c r="B103" s="909"/>
      <c r="C103" s="909" t="s">
        <v>1410</v>
      </c>
      <c r="D103" s="909"/>
      <c r="E103" s="909"/>
      <c r="F103" s="397"/>
      <c r="G103" s="379"/>
      <c r="H103" s="1003"/>
      <c r="I103" s="1004"/>
      <c r="J103" s="918"/>
    </row>
    <row r="104" spans="1:10" ht="17.100000000000001" customHeight="1">
      <c r="A104" s="909"/>
      <c r="B104" s="909"/>
      <c r="C104" s="909" t="s">
        <v>1637</v>
      </c>
      <c r="D104" s="909"/>
      <c r="E104" s="909"/>
      <c r="F104" s="397" t="s">
        <v>1638</v>
      </c>
      <c r="G104" s="909">
        <v>7</v>
      </c>
      <c r="H104" s="1000">
        <v>1800</v>
      </c>
      <c r="I104" s="1001">
        <f>G104*H104</f>
        <v>12600</v>
      </c>
      <c r="J104" s="918"/>
    </row>
    <row r="105" spans="1:10" ht="17.100000000000001" customHeight="1">
      <c r="A105" s="909"/>
      <c r="B105" s="909"/>
      <c r="C105" s="909" t="s">
        <v>1637</v>
      </c>
      <c r="D105" s="909"/>
      <c r="E105" s="909"/>
      <c r="F105" s="397" t="s">
        <v>1638</v>
      </c>
      <c r="G105" s="909"/>
      <c r="H105" s="1000"/>
      <c r="I105" s="1001"/>
      <c r="J105" s="918"/>
    </row>
    <row r="106" spans="1:10" ht="17.100000000000001" customHeight="1">
      <c r="A106" s="909"/>
      <c r="B106" s="909"/>
      <c r="C106" s="910" t="s">
        <v>1639</v>
      </c>
      <c r="D106" s="910"/>
      <c r="E106" s="910"/>
      <c r="F106" s="397"/>
      <c r="G106" s="397"/>
      <c r="H106" s="381"/>
      <c r="I106" s="561">
        <f>SUM(I100:I105)</f>
        <v>41120</v>
      </c>
      <c r="J106" s="918"/>
    </row>
    <row r="107" spans="1:10" s="395" customFormat="1" ht="17.100000000000001" customHeight="1">
      <c r="A107" s="910"/>
      <c r="B107" s="910"/>
      <c r="C107" s="910" t="s">
        <v>24</v>
      </c>
      <c r="D107" s="910"/>
      <c r="E107" s="910"/>
      <c r="F107" s="374"/>
      <c r="G107" s="374"/>
      <c r="H107" s="375"/>
      <c r="I107" s="567">
        <f>I99+I106</f>
        <v>326320</v>
      </c>
      <c r="J107" s="918"/>
    </row>
    <row r="108" spans="1:10" ht="17.100000000000001" customHeight="1">
      <c r="A108" s="379"/>
      <c r="B108" s="397"/>
      <c r="C108" s="908" t="s">
        <v>1540</v>
      </c>
      <c r="D108" s="908"/>
      <c r="E108" s="908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997" t="s">
        <v>1678</v>
      </c>
      <c r="B1" s="997"/>
      <c r="C1" s="997"/>
      <c r="D1" s="997"/>
      <c r="E1" s="997"/>
      <c r="F1" s="997"/>
      <c r="G1" s="997"/>
      <c r="H1" s="997"/>
      <c r="I1" s="997"/>
      <c r="J1" s="997"/>
      <c r="K1" s="998"/>
    </row>
    <row r="2" spans="1:11" ht="30" customHeight="1">
      <c r="A2" s="1006" t="s">
        <v>1</v>
      </c>
      <c r="B2" s="1006" t="s">
        <v>1588</v>
      </c>
      <c r="C2" s="1006" t="s">
        <v>1679</v>
      </c>
      <c r="D2" s="1006" t="s">
        <v>1589</v>
      </c>
      <c r="E2" s="1006" t="s">
        <v>1419</v>
      </c>
      <c r="F2" s="1006" t="s">
        <v>1680</v>
      </c>
      <c r="G2" s="1007" t="s">
        <v>1681</v>
      </c>
      <c r="H2" s="1007"/>
      <c r="I2" s="1007"/>
      <c r="J2" s="1007"/>
      <c r="K2" s="1007" t="s">
        <v>1805</v>
      </c>
    </row>
    <row r="3" spans="1:11" s="474" customFormat="1" ht="42.95" customHeight="1">
      <c r="A3" s="1006"/>
      <c r="B3" s="1006"/>
      <c r="C3" s="1006"/>
      <c r="D3" s="1006"/>
      <c r="E3" s="1006"/>
      <c r="F3" s="1006"/>
      <c r="G3" s="488" t="s">
        <v>533</v>
      </c>
      <c r="H3" s="489" t="s">
        <v>1366</v>
      </c>
      <c r="I3" s="489" t="s">
        <v>1591</v>
      </c>
      <c r="J3" s="490" t="s">
        <v>1592</v>
      </c>
      <c r="K3" s="1012"/>
    </row>
    <row r="4" spans="1:11" ht="18" customHeight="1">
      <c r="A4" s="1010">
        <v>1</v>
      </c>
      <c r="B4" s="1010" t="s">
        <v>395</v>
      </c>
      <c r="C4" s="1010" t="s">
        <v>1682</v>
      </c>
      <c r="D4" s="1008" t="s">
        <v>1369</v>
      </c>
      <c r="E4" s="1010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1007">
        <f>ROUND(J12*0.8,0)</f>
        <v>321693</v>
      </c>
    </row>
    <row r="5" spans="1:11" ht="18" customHeight="1">
      <c r="A5" s="1010"/>
      <c r="B5" s="1010"/>
      <c r="C5" s="1010"/>
      <c r="D5" s="1008"/>
      <c r="E5" s="1010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1007"/>
    </row>
    <row r="6" spans="1:11" ht="18" customHeight="1">
      <c r="A6" s="1010"/>
      <c r="B6" s="1010"/>
      <c r="C6" s="1010"/>
      <c r="D6" s="1008"/>
      <c r="E6" s="1010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1007"/>
    </row>
    <row r="7" spans="1:11" ht="18" customHeight="1">
      <c r="A7" s="1010"/>
      <c r="B7" s="1010"/>
      <c r="C7" s="1010"/>
      <c r="D7" s="1008"/>
      <c r="E7" s="1010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1007"/>
    </row>
    <row r="8" spans="1:11" ht="18" customHeight="1">
      <c r="A8" s="1010"/>
      <c r="B8" s="1010"/>
      <c r="C8" s="1010"/>
      <c r="D8" s="1008"/>
      <c r="E8" s="1010" t="s">
        <v>1688</v>
      </c>
      <c r="F8" s="491" t="s">
        <v>1689</v>
      </c>
      <c r="G8" s="1013" t="s">
        <v>1372</v>
      </c>
      <c r="H8" s="1008">
        <v>720</v>
      </c>
      <c r="I8" s="1008">
        <v>400</v>
      </c>
      <c r="J8" s="1008">
        <f t="shared" si="0"/>
        <v>288000</v>
      </c>
      <c r="K8" s="1007"/>
    </row>
    <row r="9" spans="1:11" ht="18" customHeight="1">
      <c r="A9" s="1010"/>
      <c r="B9" s="1010"/>
      <c r="C9" s="1010"/>
      <c r="D9" s="1008"/>
      <c r="E9" s="1010"/>
      <c r="F9" s="491" t="s">
        <v>1690</v>
      </c>
      <c r="G9" s="1013"/>
      <c r="H9" s="1008"/>
      <c r="I9" s="1008"/>
      <c r="J9" s="1008"/>
      <c r="K9" s="1007"/>
    </row>
    <row r="10" spans="1:11" ht="18" customHeight="1">
      <c r="A10" s="1010"/>
      <c r="B10" s="1010"/>
      <c r="C10" s="1010"/>
      <c r="D10" s="1008"/>
      <c r="E10" s="1009" t="s">
        <v>1424</v>
      </c>
      <c r="F10" s="1009"/>
      <c r="G10" s="495"/>
      <c r="H10" s="496"/>
      <c r="I10" s="496"/>
      <c r="J10" s="495">
        <f>SUM(J4:J9)</f>
        <v>360651</v>
      </c>
      <c r="K10" s="1007"/>
    </row>
    <row r="11" spans="1:11" ht="18" customHeight="1">
      <c r="A11" s="1010"/>
      <c r="B11" s="1010"/>
      <c r="C11" s="1010"/>
      <c r="D11" s="1008"/>
      <c r="E11" s="1007" t="s">
        <v>1603</v>
      </c>
      <c r="F11" s="1007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1007"/>
    </row>
    <row r="12" spans="1:11" ht="18" customHeight="1">
      <c r="A12" s="1010"/>
      <c r="B12" s="1010"/>
      <c r="C12" s="1010"/>
      <c r="D12" s="1008"/>
      <c r="E12" s="1011" t="s">
        <v>1428</v>
      </c>
      <c r="F12" s="1011"/>
      <c r="G12" s="498"/>
      <c r="H12" s="496"/>
      <c r="I12" s="496"/>
      <c r="J12" s="498">
        <f>J10+J11</f>
        <v>402116</v>
      </c>
      <c r="K12" s="1007"/>
    </row>
    <row r="13" spans="1:11" ht="18" customHeight="1">
      <c r="A13" s="1010">
        <v>2</v>
      </c>
      <c r="B13" s="1010" t="s">
        <v>1691</v>
      </c>
      <c r="C13" s="1010" t="s">
        <v>1692</v>
      </c>
      <c r="D13" s="1008" t="s">
        <v>1616</v>
      </c>
      <c r="E13" s="1010" t="s">
        <v>1693</v>
      </c>
      <c r="F13" s="1010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1007">
        <f>ROUND(J18*0.8,0)</f>
        <v>353982</v>
      </c>
    </row>
    <row r="14" spans="1:11" ht="18" customHeight="1">
      <c r="A14" s="1010"/>
      <c r="B14" s="1010"/>
      <c r="C14" s="1010"/>
      <c r="D14" s="1008"/>
      <c r="E14" s="1010"/>
      <c r="F14" s="1010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1007"/>
    </row>
    <row r="15" spans="1:11" ht="18" customHeight="1">
      <c r="A15" s="1010"/>
      <c r="B15" s="1010"/>
      <c r="C15" s="1010"/>
      <c r="D15" s="1008"/>
      <c r="E15" s="1010" t="s">
        <v>1694</v>
      </c>
      <c r="F15" s="1010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1007"/>
    </row>
    <row r="16" spans="1:11" ht="18" customHeight="1">
      <c r="A16" s="1010"/>
      <c r="B16" s="1010"/>
      <c r="C16" s="1010"/>
      <c r="D16" s="1008"/>
      <c r="E16" s="1009" t="s">
        <v>1424</v>
      </c>
      <c r="F16" s="1009"/>
      <c r="G16" s="495"/>
      <c r="H16" s="500"/>
      <c r="I16" s="500"/>
      <c r="J16" s="495">
        <f>SUM(J13:J15)</f>
        <v>374980</v>
      </c>
      <c r="K16" s="1007"/>
    </row>
    <row r="17" spans="1:11" ht="18" customHeight="1">
      <c r="A17" s="1010"/>
      <c r="B17" s="1010"/>
      <c r="C17" s="1010"/>
      <c r="D17" s="1008"/>
      <c r="E17" s="1009" t="s">
        <v>1603</v>
      </c>
      <c r="F17" s="1009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1007"/>
    </row>
    <row r="18" spans="1:11" ht="18" customHeight="1">
      <c r="A18" s="1010"/>
      <c r="B18" s="1010"/>
      <c r="C18" s="1010"/>
      <c r="D18" s="1008"/>
      <c r="E18" s="1009" t="s">
        <v>1428</v>
      </c>
      <c r="F18" s="1009"/>
      <c r="G18" s="498"/>
      <c r="H18" s="496"/>
      <c r="I18" s="496"/>
      <c r="J18" s="498">
        <f>SUM(J16,J17)</f>
        <v>442478</v>
      </c>
      <c r="K18" s="1007"/>
    </row>
    <row r="19" spans="1:11" ht="18" customHeight="1">
      <c r="A19" s="500"/>
      <c r="B19" s="500"/>
      <c r="C19" s="500"/>
      <c r="D19" s="500"/>
      <c r="E19" s="1007" t="s">
        <v>1540</v>
      </c>
      <c r="F19" s="1012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920" t="s">
        <v>1695</v>
      </c>
      <c r="B1" s="920"/>
      <c r="C1" s="920"/>
      <c r="D1" s="920"/>
      <c r="E1" s="920"/>
      <c r="F1" s="920"/>
      <c r="G1" s="920"/>
      <c r="H1" s="920"/>
      <c r="I1" s="920"/>
      <c r="J1" s="921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904">
        <v>1</v>
      </c>
      <c r="B3" s="1021" t="s">
        <v>1696</v>
      </c>
      <c r="C3" s="909" t="s">
        <v>1697</v>
      </c>
      <c r="D3" s="1022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1005">
        <f>ROUND(I13*0.8,0)</f>
        <v>80566</v>
      </c>
    </row>
    <row r="4" spans="1:10" s="507" customFormat="1" ht="18" customHeight="1">
      <c r="A4" s="904"/>
      <c r="B4" s="1021"/>
      <c r="C4" s="909"/>
      <c r="D4" s="1022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1005"/>
    </row>
    <row r="5" spans="1:10" s="507" customFormat="1" ht="18" customHeight="1">
      <c r="A5" s="904"/>
      <c r="B5" s="1021"/>
      <c r="C5" s="909"/>
      <c r="D5" s="1022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1005"/>
    </row>
    <row r="6" spans="1:10" s="507" customFormat="1" ht="18" customHeight="1">
      <c r="A6" s="904"/>
      <c r="B6" s="1021"/>
      <c r="C6" s="909"/>
      <c r="D6" s="1022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1005"/>
    </row>
    <row r="7" spans="1:10" s="507" customFormat="1" ht="18" customHeight="1">
      <c r="A7" s="904"/>
      <c r="B7" s="1021"/>
      <c r="C7" s="929" t="s">
        <v>1406</v>
      </c>
      <c r="D7" s="929"/>
      <c r="E7" s="929"/>
      <c r="F7" s="379"/>
      <c r="G7" s="394"/>
      <c r="H7" s="562"/>
      <c r="I7" s="580">
        <f>SUM(I3:I6)</f>
        <v>91552.4</v>
      </c>
      <c r="J7" s="1005"/>
    </row>
    <row r="8" spans="1:10" s="507" customFormat="1" ht="18" customHeight="1">
      <c r="A8" s="904"/>
      <c r="B8" s="1021"/>
      <c r="C8" s="922" t="s">
        <v>1704</v>
      </c>
      <c r="D8" s="922"/>
      <c r="E8" s="1020"/>
      <c r="F8" s="379"/>
      <c r="G8" s="508"/>
      <c r="H8" s="1014">
        <v>0.1</v>
      </c>
      <c r="I8" s="1017">
        <f>I7*H8</f>
        <v>9155.24</v>
      </c>
      <c r="J8" s="1005"/>
    </row>
    <row r="9" spans="1:10" s="507" customFormat="1" ht="18" customHeight="1">
      <c r="A9" s="904"/>
      <c r="B9" s="1021"/>
      <c r="C9" s="922" t="s">
        <v>1408</v>
      </c>
      <c r="D9" s="922"/>
      <c r="E9" s="1020"/>
      <c r="F9" s="379"/>
      <c r="G9" s="508"/>
      <c r="H9" s="1015"/>
      <c r="I9" s="1018"/>
      <c r="J9" s="1005"/>
    </row>
    <row r="10" spans="1:10" s="507" customFormat="1" ht="18" customHeight="1">
      <c r="A10" s="904"/>
      <c r="B10" s="1021"/>
      <c r="C10" s="922" t="s">
        <v>1409</v>
      </c>
      <c r="D10" s="922"/>
      <c r="E10" s="1020"/>
      <c r="F10" s="379"/>
      <c r="G10" s="508"/>
      <c r="H10" s="1015"/>
      <c r="I10" s="1018"/>
      <c r="J10" s="1005"/>
    </row>
    <row r="11" spans="1:10" s="507" customFormat="1" ht="18" customHeight="1">
      <c r="A11" s="904"/>
      <c r="B11" s="1021"/>
      <c r="C11" s="922" t="s">
        <v>1410</v>
      </c>
      <c r="D11" s="922"/>
      <c r="E11" s="1020"/>
      <c r="F11" s="379"/>
      <c r="G11" s="508"/>
      <c r="H11" s="1016"/>
      <c r="I11" s="1019"/>
      <c r="J11" s="1005"/>
    </row>
    <row r="12" spans="1:10" s="507" customFormat="1" ht="18" customHeight="1">
      <c r="A12" s="904"/>
      <c r="B12" s="1021"/>
      <c r="C12" s="929" t="s">
        <v>1418</v>
      </c>
      <c r="D12" s="929"/>
      <c r="E12" s="929"/>
      <c r="F12" s="379"/>
      <c r="G12" s="394"/>
      <c r="H12" s="562"/>
      <c r="I12" s="565">
        <f>I10+I11+I9+I8</f>
        <v>9155.24</v>
      </c>
      <c r="J12" s="1005"/>
    </row>
    <row r="13" spans="1:10" s="507" customFormat="1" ht="18" customHeight="1">
      <c r="A13" s="904"/>
      <c r="B13" s="1021"/>
      <c r="C13" s="929" t="s">
        <v>24</v>
      </c>
      <c r="D13" s="929"/>
      <c r="E13" s="929"/>
      <c r="F13" s="379"/>
      <c r="G13" s="394"/>
      <c r="H13" s="562"/>
      <c r="I13" s="565">
        <f>I12+I7</f>
        <v>100707.64</v>
      </c>
      <c r="J13" s="1005"/>
    </row>
    <row r="14" spans="1:10" s="507" customFormat="1" ht="18" customHeight="1">
      <c r="A14" s="904">
        <v>2</v>
      </c>
      <c r="B14" s="1021" t="s">
        <v>474</v>
      </c>
      <c r="C14" s="909" t="s">
        <v>1705</v>
      </c>
      <c r="D14" s="906" t="s">
        <v>1706</v>
      </c>
      <c r="E14" s="915" t="s">
        <v>1707</v>
      </c>
      <c r="F14" s="915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1005">
        <f>ROUND(I35*0.8,0)</f>
        <v>2477934</v>
      </c>
    </row>
    <row r="15" spans="1:10" s="507" customFormat="1" ht="18" customHeight="1">
      <c r="A15" s="904"/>
      <c r="B15" s="1021"/>
      <c r="C15" s="909"/>
      <c r="D15" s="906"/>
      <c r="E15" s="916"/>
      <c r="F15" s="916"/>
      <c r="G15" s="378">
        <v>1</v>
      </c>
      <c r="H15" s="571">
        <v>1600</v>
      </c>
      <c r="I15" s="564">
        <f t="shared" si="1"/>
        <v>1600</v>
      </c>
      <c r="J15" s="1005"/>
    </row>
    <row r="16" spans="1:10" s="507" customFormat="1" ht="18" customHeight="1">
      <c r="A16" s="904"/>
      <c r="B16" s="1021"/>
      <c r="C16" s="909"/>
      <c r="D16" s="906"/>
      <c r="E16" s="916"/>
      <c r="F16" s="916"/>
      <c r="G16" s="378">
        <v>30</v>
      </c>
      <c r="H16" s="571">
        <v>800</v>
      </c>
      <c r="I16" s="564">
        <f t="shared" si="1"/>
        <v>24000</v>
      </c>
      <c r="J16" s="1005"/>
    </row>
    <row r="17" spans="1:10" s="507" customFormat="1" ht="18" customHeight="1">
      <c r="A17" s="904"/>
      <c r="B17" s="1021"/>
      <c r="C17" s="909"/>
      <c r="D17" s="906"/>
      <c r="E17" s="916"/>
      <c r="F17" s="917"/>
      <c r="G17" s="378">
        <v>30</v>
      </c>
      <c r="H17" s="571">
        <v>50</v>
      </c>
      <c r="I17" s="564">
        <f t="shared" si="1"/>
        <v>1500</v>
      </c>
      <c r="J17" s="1005"/>
    </row>
    <row r="18" spans="1:10" s="507" customFormat="1" ht="18" customHeight="1">
      <c r="A18" s="904"/>
      <c r="B18" s="1021"/>
      <c r="C18" s="909"/>
      <c r="D18" s="906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1005"/>
    </row>
    <row r="19" spans="1:10" s="507" customFormat="1" ht="18" customHeight="1">
      <c r="A19" s="904"/>
      <c r="B19" s="1021"/>
      <c r="C19" s="909"/>
      <c r="D19" s="906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1005"/>
    </row>
    <row r="20" spans="1:10" s="507" customFormat="1" ht="18" customHeight="1">
      <c r="A20" s="904"/>
      <c r="B20" s="1021"/>
      <c r="C20" s="909"/>
      <c r="D20" s="906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1005"/>
    </row>
    <row r="21" spans="1:10" s="507" customFormat="1" ht="18" customHeight="1">
      <c r="A21" s="904"/>
      <c r="B21" s="1021"/>
      <c r="C21" s="909"/>
      <c r="D21" s="906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1005"/>
    </row>
    <row r="22" spans="1:10" s="507" customFormat="1" ht="18" customHeight="1">
      <c r="A22" s="904"/>
      <c r="B22" s="1021"/>
      <c r="C22" s="909"/>
      <c r="D22" s="906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1005"/>
    </row>
    <row r="23" spans="1:10" s="507" customFormat="1" ht="18" customHeight="1">
      <c r="A23" s="904"/>
      <c r="B23" s="1021"/>
      <c r="C23" s="909"/>
      <c r="D23" s="906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1005"/>
    </row>
    <row r="24" spans="1:10" s="507" customFormat="1" ht="18" customHeight="1">
      <c r="A24" s="904"/>
      <c r="B24" s="1021"/>
      <c r="C24" s="909"/>
      <c r="D24" s="906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1005"/>
    </row>
    <row r="25" spans="1:10" s="507" customFormat="1" ht="18" customHeight="1">
      <c r="A25" s="904"/>
      <c r="B25" s="1021"/>
      <c r="C25" s="909"/>
      <c r="D25" s="906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1005"/>
    </row>
    <row r="26" spans="1:10" s="507" customFormat="1" ht="18" customHeight="1">
      <c r="A26" s="904"/>
      <c r="B26" s="1021"/>
      <c r="C26" s="909"/>
      <c r="D26" s="906"/>
      <c r="E26" s="404" t="s">
        <v>534</v>
      </c>
      <c r="F26" s="404"/>
      <c r="G26" s="394"/>
      <c r="H26" s="572"/>
      <c r="I26" s="581">
        <f>SUM(I14:I25)</f>
        <v>2023604.4780000001</v>
      </c>
      <c r="J26" s="1005"/>
    </row>
    <row r="27" spans="1:10" s="507" customFormat="1" ht="18" customHeight="1">
      <c r="A27" s="904"/>
      <c r="B27" s="1021"/>
      <c r="C27" s="909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1005"/>
    </row>
    <row r="28" spans="1:10" s="507" customFormat="1" ht="18" customHeight="1">
      <c r="A28" s="904"/>
      <c r="B28" s="1021"/>
      <c r="C28" s="909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1005"/>
    </row>
    <row r="29" spans="1:10" s="507" customFormat="1" ht="18" customHeight="1">
      <c r="A29" s="904"/>
      <c r="B29" s="1021"/>
      <c r="C29" s="929" t="s">
        <v>1406</v>
      </c>
      <c r="D29" s="929"/>
      <c r="E29" s="929"/>
      <c r="F29" s="386"/>
      <c r="G29" s="510"/>
      <c r="H29" s="573"/>
      <c r="I29" s="582">
        <f>I28+I26+I27</f>
        <v>2815834.4780000001</v>
      </c>
      <c r="J29" s="1005"/>
    </row>
    <row r="30" spans="1:10" s="507" customFormat="1" ht="18" customHeight="1">
      <c r="A30" s="904"/>
      <c r="B30" s="1021"/>
      <c r="C30" s="922" t="s">
        <v>1408</v>
      </c>
      <c r="D30" s="922"/>
      <c r="E30" s="922"/>
      <c r="F30" s="505"/>
      <c r="G30" s="379"/>
      <c r="H30" s="1014">
        <v>0.1</v>
      </c>
      <c r="I30" s="1026">
        <f>I29*H30</f>
        <v>281583.44780000002</v>
      </c>
      <c r="J30" s="1005"/>
    </row>
    <row r="31" spans="1:10" s="507" customFormat="1" ht="18" customHeight="1">
      <c r="A31" s="904"/>
      <c r="B31" s="1021"/>
      <c r="C31" s="922" t="s">
        <v>1409</v>
      </c>
      <c r="D31" s="922"/>
      <c r="E31" s="922"/>
      <c r="F31" s="505"/>
      <c r="G31" s="379"/>
      <c r="H31" s="1015"/>
      <c r="I31" s="1027"/>
      <c r="J31" s="1005"/>
    </row>
    <row r="32" spans="1:10" s="507" customFormat="1" ht="18" customHeight="1">
      <c r="A32" s="904"/>
      <c r="B32" s="1021"/>
      <c r="C32" s="922" t="s">
        <v>1410</v>
      </c>
      <c r="D32" s="922"/>
      <c r="E32" s="922"/>
      <c r="F32" s="505"/>
      <c r="G32" s="379"/>
      <c r="H32" s="1016"/>
      <c r="I32" s="1028"/>
      <c r="J32" s="1005"/>
    </row>
    <row r="33" spans="1:10" s="507" customFormat="1" ht="18" customHeight="1">
      <c r="A33" s="904"/>
      <c r="B33" s="1021"/>
      <c r="C33" s="922" t="s">
        <v>1719</v>
      </c>
      <c r="D33" s="922"/>
      <c r="E33" s="922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1005"/>
    </row>
    <row r="34" spans="1:10" s="507" customFormat="1" ht="18" customHeight="1">
      <c r="A34" s="904"/>
      <c r="B34" s="1021"/>
      <c r="C34" s="929" t="s">
        <v>1418</v>
      </c>
      <c r="D34" s="929"/>
      <c r="E34" s="929"/>
      <c r="F34" s="505"/>
      <c r="G34" s="379"/>
      <c r="H34" s="560"/>
      <c r="I34" s="563">
        <f>I30+I33</f>
        <v>281583.44780000002</v>
      </c>
      <c r="J34" s="1005"/>
    </row>
    <row r="35" spans="1:10" s="507" customFormat="1" ht="18" customHeight="1">
      <c r="A35" s="904"/>
      <c r="B35" s="1021"/>
      <c r="C35" s="929" t="s">
        <v>24</v>
      </c>
      <c r="D35" s="929"/>
      <c r="E35" s="929"/>
      <c r="F35" s="505"/>
      <c r="G35" s="394"/>
      <c r="H35" s="562"/>
      <c r="I35" s="565">
        <f>I34+I29</f>
        <v>3097417.9258000003</v>
      </c>
      <c r="J35" s="1005"/>
    </row>
    <row r="36" spans="1:10" s="511" customFormat="1" ht="18" customHeight="1">
      <c r="A36" s="904">
        <v>3</v>
      </c>
      <c r="B36" s="906" t="s">
        <v>1721</v>
      </c>
      <c r="C36" s="907" t="s">
        <v>1722</v>
      </c>
      <c r="D36" s="906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918">
        <f>ROUND(I45*0.8,0)</f>
        <v>507560</v>
      </c>
    </row>
    <row r="37" spans="1:10" s="511" customFormat="1" ht="18" customHeight="1">
      <c r="A37" s="904"/>
      <c r="B37" s="906"/>
      <c r="C37" s="907"/>
      <c r="D37" s="906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918"/>
    </row>
    <row r="38" spans="1:10" s="511" customFormat="1" ht="18" customHeight="1">
      <c r="A38" s="904"/>
      <c r="B38" s="906"/>
      <c r="C38" s="907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918"/>
    </row>
    <row r="39" spans="1:10" s="511" customFormat="1" ht="18" customHeight="1">
      <c r="A39" s="904"/>
      <c r="B39" s="906"/>
      <c r="C39" s="929" t="s">
        <v>1406</v>
      </c>
      <c r="D39" s="929"/>
      <c r="E39" s="929"/>
      <c r="F39" s="378"/>
      <c r="G39" s="513"/>
      <c r="H39" s="575"/>
      <c r="I39" s="580">
        <f>SUM(I36:I38)</f>
        <v>549500</v>
      </c>
      <c r="J39" s="918"/>
    </row>
    <row r="40" spans="1:10" s="511" customFormat="1" ht="18" customHeight="1">
      <c r="A40" s="904"/>
      <c r="B40" s="906"/>
      <c r="C40" s="906" t="s">
        <v>1408</v>
      </c>
      <c r="D40" s="906"/>
      <c r="E40" s="906"/>
      <c r="F40" s="378"/>
      <c r="G40" s="389"/>
      <c r="H40" s="1025">
        <v>0.1</v>
      </c>
      <c r="I40" s="1026">
        <f>I39*H40</f>
        <v>54950</v>
      </c>
      <c r="J40" s="918"/>
    </row>
    <row r="41" spans="1:10" s="511" customFormat="1" ht="18" customHeight="1">
      <c r="A41" s="904"/>
      <c r="B41" s="906"/>
      <c r="C41" s="906" t="s">
        <v>1409</v>
      </c>
      <c r="D41" s="906"/>
      <c r="E41" s="906"/>
      <c r="F41" s="378"/>
      <c r="G41" s="389"/>
      <c r="H41" s="1025"/>
      <c r="I41" s="1027"/>
      <c r="J41" s="918"/>
    </row>
    <row r="42" spans="1:10" s="511" customFormat="1" ht="18" customHeight="1">
      <c r="A42" s="904"/>
      <c r="B42" s="906"/>
      <c r="C42" s="906" t="s">
        <v>1410</v>
      </c>
      <c r="D42" s="906"/>
      <c r="E42" s="906"/>
      <c r="F42" s="378"/>
      <c r="G42" s="389"/>
      <c r="H42" s="1025"/>
      <c r="I42" s="1028"/>
      <c r="J42" s="918"/>
    </row>
    <row r="43" spans="1:10" s="511" customFormat="1" ht="18" customHeight="1">
      <c r="A43" s="904"/>
      <c r="B43" s="906"/>
      <c r="C43" s="906" t="s">
        <v>1725</v>
      </c>
      <c r="D43" s="906"/>
      <c r="E43" s="906"/>
      <c r="F43" s="378"/>
      <c r="G43" s="389"/>
      <c r="H43" s="576"/>
      <c r="I43" s="384">
        <v>30000</v>
      </c>
      <c r="J43" s="918"/>
    </row>
    <row r="44" spans="1:10" s="511" customFormat="1" ht="18" customHeight="1">
      <c r="A44" s="904"/>
      <c r="B44" s="906"/>
      <c r="C44" s="929" t="s">
        <v>1418</v>
      </c>
      <c r="D44" s="929"/>
      <c r="E44" s="929"/>
      <c r="F44" s="505"/>
      <c r="G44" s="379"/>
      <c r="H44" s="560"/>
      <c r="I44" s="565">
        <f>SUM(I40:I43)</f>
        <v>84950</v>
      </c>
      <c r="J44" s="918"/>
    </row>
    <row r="45" spans="1:10" s="511" customFormat="1" ht="18" customHeight="1">
      <c r="A45" s="904"/>
      <c r="B45" s="906"/>
      <c r="C45" s="929" t="s">
        <v>24</v>
      </c>
      <c r="D45" s="929"/>
      <c r="E45" s="929"/>
      <c r="F45" s="378"/>
      <c r="G45" s="386"/>
      <c r="H45" s="574"/>
      <c r="I45" s="580">
        <f>I39+I44</f>
        <v>634450</v>
      </c>
      <c r="J45" s="918"/>
    </row>
    <row r="46" spans="1:10" s="511" customFormat="1" ht="18" customHeight="1">
      <c r="A46" s="904">
        <v>4</v>
      </c>
      <c r="B46" s="906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918">
        <f>ROUND(I52*0.8,0)</f>
        <v>789760</v>
      </c>
    </row>
    <row r="47" spans="1:10" s="511" customFormat="1" ht="18" customHeight="1">
      <c r="A47" s="904"/>
      <c r="B47" s="906"/>
      <c r="C47" s="929" t="s">
        <v>1406</v>
      </c>
      <c r="D47" s="929"/>
      <c r="E47" s="929"/>
      <c r="F47" s="378"/>
      <c r="G47" s="513"/>
      <c r="H47" s="575"/>
      <c r="I47" s="580">
        <f>SUM(I46:I46)</f>
        <v>899000</v>
      </c>
      <c r="J47" s="918"/>
    </row>
    <row r="48" spans="1:10" s="511" customFormat="1" ht="18" customHeight="1">
      <c r="A48" s="904"/>
      <c r="B48" s="906"/>
      <c r="C48" s="906" t="s">
        <v>1408</v>
      </c>
      <c r="D48" s="906"/>
      <c r="E48" s="906"/>
      <c r="F48" s="378"/>
      <c r="G48" s="386"/>
      <c r="H48" s="558"/>
      <c r="I48" s="583">
        <v>9300</v>
      </c>
      <c r="J48" s="918"/>
    </row>
    <row r="49" spans="1:10" s="511" customFormat="1" ht="18" customHeight="1">
      <c r="A49" s="904"/>
      <c r="B49" s="906"/>
      <c r="C49" s="906" t="s">
        <v>1409</v>
      </c>
      <c r="D49" s="906"/>
      <c r="E49" s="906"/>
      <c r="F49" s="378"/>
      <c r="G49" s="386"/>
      <c r="H49" s="577"/>
      <c r="I49" s="583">
        <v>41700</v>
      </c>
      <c r="J49" s="918"/>
    </row>
    <row r="50" spans="1:10" s="511" customFormat="1" ht="18" customHeight="1">
      <c r="A50" s="904"/>
      <c r="B50" s="906"/>
      <c r="C50" s="906" t="s">
        <v>1410</v>
      </c>
      <c r="D50" s="906"/>
      <c r="E50" s="906"/>
      <c r="F50" s="378"/>
      <c r="G50" s="386"/>
      <c r="H50" s="577"/>
      <c r="I50" s="583">
        <v>37200</v>
      </c>
      <c r="J50" s="918"/>
    </row>
    <row r="51" spans="1:10" s="511" customFormat="1" ht="18" customHeight="1">
      <c r="A51" s="904"/>
      <c r="B51" s="906"/>
      <c r="C51" s="929" t="s">
        <v>1418</v>
      </c>
      <c r="D51" s="929"/>
      <c r="E51" s="929"/>
      <c r="F51" s="505"/>
      <c r="G51" s="379"/>
      <c r="H51" s="560"/>
      <c r="I51" s="565">
        <f>SUM(I48:I50)</f>
        <v>88200</v>
      </c>
      <c r="J51" s="918"/>
    </row>
    <row r="52" spans="1:10" s="511" customFormat="1" ht="18" customHeight="1">
      <c r="A52" s="1023"/>
      <c r="B52" s="915"/>
      <c r="C52" s="1024" t="s">
        <v>24</v>
      </c>
      <c r="D52" s="1024"/>
      <c r="E52" s="1024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918"/>
    </row>
    <row r="53" spans="1:10" ht="18" customHeight="1">
      <c r="A53" s="515"/>
      <c r="B53" s="515"/>
      <c r="C53" s="1029" t="s">
        <v>1540</v>
      </c>
      <c r="D53" s="1029"/>
      <c r="E53" s="1029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1035" t="s">
        <v>1727</v>
      </c>
      <c r="B1" s="1035"/>
      <c r="C1" s="1035"/>
      <c r="D1" s="1035"/>
      <c r="E1" s="1035"/>
      <c r="F1" s="1035"/>
      <c r="G1" s="1036"/>
      <c r="H1" s="1036"/>
      <c r="I1" s="1036"/>
      <c r="J1" s="1036"/>
      <c r="K1" s="1037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1030">
        <v>1</v>
      </c>
      <c r="B3" s="1030" t="s">
        <v>267</v>
      </c>
      <c r="C3" s="1030" t="s">
        <v>1728</v>
      </c>
      <c r="D3" s="1031" t="s">
        <v>1722</v>
      </c>
      <c r="E3" s="1032" t="s">
        <v>1729</v>
      </c>
      <c r="F3" s="1039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1006">
        <f>ROUND(J9*0.8,0)</f>
        <v>506099</v>
      </c>
    </row>
    <row r="4" spans="1:11" s="520" customFormat="1" ht="18" customHeight="1">
      <c r="A4" s="1030"/>
      <c r="B4" s="1030"/>
      <c r="C4" s="1030"/>
      <c r="D4" s="1031"/>
      <c r="E4" s="1032"/>
      <c r="F4" s="1039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1012"/>
    </row>
    <row r="5" spans="1:11" ht="18" customHeight="1">
      <c r="A5" s="1030"/>
      <c r="B5" s="1030"/>
      <c r="C5" s="1030"/>
      <c r="D5" s="1031"/>
      <c r="E5" s="1032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1012"/>
    </row>
    <row r="6" spans="1:11" ht="18" customHeight="1">
      <c r="A6" s="1030"/>
      <c r="B6" s="1030"/>
      <c r="C6" s="1030"/>
      <c r="D6" s="1031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1012"/>
    </row>
    <row r="7" spans="1:11" s="525" customFormat="1" ht="18" customHeight="1">
      <c r="A7" s="1030"/>
      <c r="B7" s="1030"/>
      <c r="C7" s="1030"/>
      <c r="D7" s="1031"/>
      <c r="E7" s="1033" t="s">
        <v>1424</v>
      </c>
      <c r="F7" s="1033"/>
      <c r="G7" s="523"/>
      <c r="H7" s="524"/>
      <c r="I7" s="524"/>
      <c r="J7" s="535">
        <f>SUM(J3:J6)</f>
        <v>547840</v>
      </c>
      <c r="K7" s="1012"/>
    </row>
    <row r="8" spans="1:11" s="525" customFormat="1" ht="18" customHeight="1">
      <c r="A8" s="1030"/>
      <c r="B8" s="1030"/>
      <c r="C8" s="1030"/>
      <c r="D8" s="1031"/>
      <c r="E8" s="1033" t="s">
        <v>1603</v>
      </c>
      <c r="F8" s="1033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1012"/>
    </row>
    <row r="9" spans="1:11" s="525" customFormat="1" ht="18" customHeight="1">
      <c r="A9" s="1030"/>
      <c r="B9" s="1030"/>
      <c r="C9" s="1030"/>
      <c r="D9" s="1031"/>
      <c r="E9" s="1033" t="s">
        <v>1428</v>
      </c>
      <c r="F9" s="1033"/>
      <c r="G9" s="523"/>
      <c r="H9" s="524"/>
      <c r="I9" s="524"/>
      <c r="J9" s="532">
        <f>J7+J8</f>
        <v>632624</v>
      </c>
      <c r="K9" s="1012"/>
    </row>
    <row r="10" spans="1:11" ht="18" customHeight="1">
      <c r="A10" s="1030">
        <v>2</v>
      </c>
      <c r="B10" s="1030" t="s">
        <v>376</v>
      </c>
      <c r="C10" s="1030" t="s">
        <v>1734</v>
      </c>
      <c r="D10" s="1031" t="s">
        <v>1369</v>
      </c>
      <c r="E10" s="1030" t="s">
        <v>1735</v>
      </c>
      <c r="F10" s="1034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1006">
        <f>ROUND(J26*0.8,0)</f>
        <v>1564939</v>
      </c>
    </row>
    <row r="11" spans="1:11" ht="18" customHeight="1">
      <c r="A11" s="1030"/>
      <c r="B11" s="1030"/>
      <c r="C11" s="1030"/>
      <c r="D11" s="1031"/>
      <c r="E11" s="1030"/>
      <c r="F11" s="1034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1012"/>
    </row>
    <row r="12" spans="1:11" ht="18" customHeight="1">
      <c r="A12" s="1030"/>
      <c r="B12" s="1030"/>
      <c r="C12" s="1030"/>
      <c r="D12" s="1031"/>
      <c r="E12" s="1030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1012"/>
    </row>
    <row r="13" spans="1:11" ht="18" customHeight="1">
      <c r="A13" s="1030"/>
      <c r="B13" s="1030"/>
      <c r="C13" s="1030"/>
      <c r="D13" s="1031"/>
      <c r="E13" s="1030" t="s">
        <v>1738</v>
      </c>
      <c r="F13" s="1034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1012"/>
    </row>
    <row r="14" spans="1:11" ht="18" customHeight="1">
      <c r="A14" s="1030"/>
      <c r="B14" s="1030"/>
      <c r="C14" s="1030"/>
      <c r="D14" s="1031"/>
      <c r="E14" s="1030"/>
      <c r="F14" s="1034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1012"/>
    </row>
    <row r="15" spans="1:11" ht="18" customHeight="1">
      <c r="A15" s="1030"/>
      <c r="B15" s="1030"/>
      <c r="C15" s="1030"/>
      <c r="D15" s="1031"/>
      <c r="E15" s="1030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1012"/>
    </row>
    <row r="16" spans="1:11" ht="18" customHeight="1">
      <c r="A16" s="1030"/>
      <c r="B16" s="1030"/>
      <c r="C16" s="1030"/>
      <c r="D16" s="1031"/>
      <c r="E16" s="1030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1012"/>
    </row>
    <row r="17" spans="1:11" ht="18" customHeight="1">
      <c r="A17" s="1030"/>
      <c r="B17" s="1030"/>
      <c r="C17" s="1030"/>
      <c r="D17" s="1031"/>
      <c r="E17" s="1030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1012"/>
    </row>
    <row r="18" spans="1:11" ht="18" customHeight="1">
      <c r="A18" s="1030"/>
      <c r="B18" s="1030"/>
      <c r="C18" s="1030"/>
      <c r="D18" s="1031"/>
      <c r="E18" s="1030" t="s">
        <v>1743</v>
      </c>
      <c r="F18" s="1034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1012"/>
    </row>
    <row r="19" spans="1:11" ht="18" customHeight="1">
      <c r="A19" s="1030"/>
      <c r="B19" s="1030"/>
      <c r="C19" s="1030"/>
      <c r="D19" s="1031"/>
      <c r="E19" s="1030"/>
      <c r="F19" s="1034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1012"/>
    </row>
    <row r="20" spans="1:11" ht="18" customHeight="1">
      <c r="A20" s="1030"/>
      <c r="B20" s="1030"/>
      <c r="C20" s="1030"/>
      <c r="D20" s="1031"/>
      <c r="E20" s="1030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1012"/>
    </row>
    <row r="21" spans="1:11" ht="18" customHeight="1">
      <c r="A21" s="1030"/>
      <c r="B21" s="1030"/>
      <c r="C21" s="1030"/>
      <c r="D21" s="1031"/>
      <c r="E21" s="1030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1012"/>
    </row>
    <row r="22" spans="1:11" ht="18" customHeight="1">
      <c r="A22" s="1030"/>
      <c r="B22" s="1030"/>
      <c r="C22" s="1030"/>
      <c r="D22" s="1031"/>
      <c r="E22" s="1030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1012"/>
    </row>
    <row r="23" spans="1:11" ht="18" customHeight="1">
      <c r="A23" s="1030"/>
      <c r="B23" s="1030"/>
      <c r="C23" s="1030"/>
      <c r="D23" s="1031"/>
      <c r="E23" s="1030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1012"/>
    </row>
    <row r="24" spans="1:11" s="525" customFormat="1" ht="18" customHeight="1">
      <c r="A24" s="1030"/>
      <c r="B24" s="1030"/>
      <c r="C24" s="1030"/>
      <c r="D24" s="1031"/>
      <c r="E24" s="1033" t="s">
        <v>1424</v>
      </c>
      <c r="F24" s="1033"/>
      <c r="G24" s="523"/>
      <c r="H24" s="524"/>
      <c r="I24" s="524"/>
      <c r="J24" s="532">
        <f>SUM(J10:J23)</f>
        <v>1714704</v>
      </c>
      <c r="K24" s="1012"/>
    </row>
    <row r="25" spans="1:11" s="525" customFormat="1" ht="18" customHeight="1">
      <c r="A25" s="1030"/>
      <c r="B25" s="1030"/>
      <c r="C25" s="1030"/>
      <c r="D25" s="1031"/>
      <c r="E25" s="1033" t="s">
        <v>1603</v>
      </c>
      <c r="F25" s="1033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1012"/>
    </row>
    <row r="26" spans="1:11" s="525" customFormat="1" ht="18" customHeight="1">
      <c r="A26" s="1030"/>
      <c r="B26" s="1030"/>
      <c r="C26" s="1030"/>
      <c r="D26" s="1031"/>
      <c r="E26" s="1033" t="s">
        <v>1428</v>
      </c>
      <c r="F26" s="1033"/>
      <c r="G26" s="523"/>
      <c r="H26" s="524"/>
      <c r="I26" s="524"/>
      <c r="J26" s="532">
        <f>J24+J25</f>
        <v>1956174</v>
      </c>
      <c r="K26" s="1012"/>
    </row>
    <row r="27" spans="1:11" ht="18" customHeight="1">
      <c r="A27" s="1030">
        <v>3</v>
      </c>
      <c r="B27" s="1030" t="s">
        <v>1749</v>
      </c>
      <c r="C27" s="1030" t="s">
        <v>1750</v>
      </c>
      <c r="D27" s="1031" t="s">
        <v>1369</v>
      </c>
      <c r="E27" s="1030" t="s">
        <v>1614</v>
      </c>
      <c r="F27" s="1034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1006">
        <f>ROUND(J31*0.8,0)</f>
        <v>565485</v>
      </c>
    </row>
    <row r="28" spans="1:11" ht="18" customHeight="1">
      <c r="A28" s="1030"/>
      <c r="B28" s="1030"/>
      <c r="C28" s="1030"/>
      <c r="D28" s="1031"/>
      <c r="E28" s="1030"/>
      <c r="F28" s="1034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1012"/>
    </row>
    <row r="29" spans="1:11" s="525" customFormat="1" ht="18" customHeight="1">
      <c r="A29" s="1030"/>
      <c r="B29" s="1030"/>
      <c r="C29" s="1030"/>
      <c r="D29" s="1031"/>
      <c r="E29" s="1033" t="s">
        <v>1424</v>
      </c>
      <c r="F29" s="1033"/>
      <c r="G29" s="523"/>
      <c r="H29" s="524"/>
      <c r="I29" s="524"/>
      <c r="J29" s="532">
        <f>SUM(J27:J28)</f>
        <v>615324</v>
      </c>
      <c r="K29" s="1012"/>
    </row>
    <row r="30" spans="1:11" s="525" customFormat="1" ht="18" customHeight="1">
      <c r="A30" s="1030"/>
      <c r="B30" s="1030"/>
      <c r="C30" s="1030"/>
      <c r="D30" s="1031"/>
      <c r="E30" s="1033" t="s">
        <v>1603</v>
      </c>
      <c r="F30" s="1033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1012"/>
    </row>
    <row r="31" spans="1:11" s="525" customFormat="1" ht="18" customHeight="1">
      <c r="A31" s="1030"/>
      <c r="B31" s="1030"/>
      <c r="C31" s="1030"/>
      <c r="D31" s="1031"/>
      <c r="E31" s="1033" t="s">
        <v>1428</v>
      </c>
      <c r="F31" s="1033"/>
      <c r="G31" s="523"/>
      <c r="H31" s="524"/>
      <c r="I31" s="524"/>
      <c r="J31" s="532">
        <f>J29+J30</f>
        <v>706856</v>
      </c>
      <c r="K31" s="1012"/>
    </row>
    <row r="32" spans="1:11" ht="18" customHeight="1">
      <c r="A32" s="1030">
        <v>4</v>
      </c>
      <c r="B32" s="1030" t="s">
        <v>1751</v>
      </c>
      <c r="C32" s="1030" t="s">
        <v>1752</v>
      </c>
      <c r="D32" s="1031" t="s">
        <v>1369</v>
      </c>
      <c r="E32" s="1030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1006">
        <f>ROUND(J40*0.8,0)</f>
        <v>330806</v>
      </c>
    </row>
    <row r="33" spans="1:11" ht="18" customHeight="1">
      <c r="A33" s="1030"/>
      <c r="B33" s="1030"/>
      <c r="C33" s="1030"/>
      <c r="D33" s="1031"/>
      <c r="E33" s="1030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1006"/>
    </row>
    <row r="34" spans="1:11" ht="18" customHeight="1">
      <c r="A34" s="1030"/>
      <c r="B34" s="1030"/>
      <c r="C34" s="1030"/>
      <c r="D34" s="1031"/>
      <c r="E34" s="1030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1006"/>
    </row>
    <row r="35" spans="1:11" ht="18" customHeight="1">
      <c r="A35" s="1030"/>
      <c r="B35" s="1030"/>
      <c r="C35" s="1030"/>
      <c r="D35" s="1031"/>
      <c r="E35" s="1030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1006"/>
    </row>
    <row r="36" spans="1:11" ht="18" customHeight="1">
      <c r="A36" s="1030"/>
      <c r="B36" s="1030"/>
      <c r="C36" s="1030"/>
      <c r="D36" s="1031"/>
      <c r="E36" s="1030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1006"/>
    </row>
    <row r="37" spans="1:11" ht="18" customHeight="1">
      <c r="A37" s="1030"/>
      <c r="B37" s="1030"/>
      <c r="C37" s="1030"/>
      <c r="D37" s="1031"/>
      <c r="E37" s="1030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1006"/>
    </row>
    <row r="38" spans="1:11" ht="18" customHeight="1">
      <c r="A38" s="1030"/>
      <c r="B38" s="1030"/>
      <c r="C38" s="1030"/>
      <c r="D38" s="1031"/>
      <c r="E38" s="1033" t="s">
        <v>1424</v>
      </c>
      <c r="F38" s="1033"/>
      <c r="G38" s="528"/>
      <c r="H38" s="526"/>
      <c r="I38" s="526"/>
      <c r="J38" s="535">
        <f>SUM(J32:J37)</f>
        <v>375916</v>
      </c>
      <c r="K38" s="1006"/>
    </row>
    <row r="39" spans="1:11" ht="18" customHeight="1">
      <c r="A39" s="1030"/>
      <c r="B39" s="1030"/>
      <c r="C39" s="1030"/>
      <c r="D39" s="1031"/>
      <c r="E39" s="1033" t="s">
        <v>1603</v>
      </c>
      <c r="F39" s="1033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1006"/>
    </row>
    <row r="40" spans="1:11" ht="18" customHeight="1">
      <c r="A40" s="1030"/>
      <c r="B40" s="1030"/>
      <c r="C40" s="1030"/>
      <c r="D40" s="1031"/>
      <c r="E40" s="1033" t="s">
        <v>1428</v>
      </c>
      <c r="F40" s="1033"/>
      <c r="G40" s="528"/>
      <c r="H40" s="526"/>
      <c r="I40" s="526"/>
      <c r="J40" s="535">
        <f>J38+J39</f>
        <v>413508</v>
      </c>
      <c r="K40" s="1006"/>
    </row>
    <row r="41" spans="1:11" ht="18" customHeight="1">
      <c r="A41" s="538"/>
      <c r="B41" s="538"/>
      <c r="C41" s="538"/>
      <c r="D41" s="538"/>
      <c r="E41" s="1006" t="s">
        <v>1540</v>
      </c>
      <c r="F41" s="1038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1040" t="s">
        <v>1802</v>
      </c>
      <c r="B1" s="1041"/>
      <c r="C1" s="1041"/>
      <c r="D1" s="1041"/>
      <c r="E1" s="1041"/>
      <c r="F1" s="1041"/>
      <c r="G1" s="1041"/>
      <c r="H1" s="1041"/>
      <c r="I1" s="1041"/>
      <c r="J1" s="1041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1042" t="s">
        <v>764</v>
      </c>
      <c r="B1" s="1043"/>
      <c r="C1" s="1043"/>
      <c r="D1" s="1043"/>
      <c r="E1" s="1043"/>
      <c r="F1" s="1043"/>
      <c r="G1" s="1043"/>
      <c r="H1" s="1043"/>
      <c r="I1" s="1043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1044" t="s">
        <v>873</v>
      </c>
      <c r="B1" s="1044"/>
      <c r="C1" s="1044"/>
      <c r="D1" s="1044"/>
      <c r="E1" s="1044"/>
      <c r="F1" s="1044"/>
      <c r="G1" s="1044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1045" t="s">
        <v>927</v>
      </c>
      <c r="B1" s="1046"/>
      <c r="C1" s="1046"/>
      <c r="D1" s="1046"/>
      <c r="E1" s="1046"/>
      <c r="F1" s="1046"/>
      <c r="G1" s="1046"/>
      <c r="H1" s="1046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1047" t="s">
        <v>946</v>
      </c>
      <c r="B7" s="1050" t="s">
        <v>947</v>
      </c>
      <c r="C7" s="1050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1048" t="s">
        <v>946</v>
      </c>
      <c r="B8" s="1051" t="s">
        <v>947</v>
      </c>
      <c r="C8" s="1051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1048" t="s">
        <v>946</v>
      </c>
      <c r="B9" s="1051" t="s">
        <v>947</v>
      </c>
      <c r="C9" s="1051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1049" t="s">
        <v>946</v>
      </c>
      <c r="B10" s="1052" t="s">
        <v>947</v>
      </c>
      <c r="C10" s="1052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1047" t="s">
        <v>961</v>
      </c>
      <c r="B18" s="1050" t="s">
        <v>962</v>
      </c>
      <c r="C18" s="1050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1049" t="s">
        <v>961</v>
      </c>
      <c r="B19" s="1052" t="s">
        <v>962</v>
      </c>
      <c r="C19" s="1052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1055" t="s">
        <v>970</v>
      </c>
      <c r="B24" s="1056" t="s">
        <v>971</v>
      </c>
      <c r="C24" s="1056" t="s">
        <v>937</v>
      </c>
      <c r="D24" s="1056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1053" t="s">
        <v>940</v>
      </c>
      <c r="J24" s="257"/>
    </row>
    <row r="25" spans="1:10" s="244" customFormat="1" ht="20.100000000000001" customHeight="1">
      <c r="A25" s="1049" t="s">
        <v>970</v>
      </c>
      <c r="B25" s="1052" t="s">
        <v>971</v>
      </c>
      <c r="C25" s="1052"/>
      <c r="D25" s="1052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1054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1047" t="s">
        <v>551</v>
      </c>
      <c r="B27" s="1050" t="s">
        <v>971</v>
      </c>
      <c r="C27" s="1050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1047">
        <v>500000</v>
      </c>
      <c r="I27" s="258" t="s">
        <v>935</v>
      </c>
      <c r="J27" s="251"/>
    </row>
    <row r="28" spans="1:10" s="244" customFormat="1" ht="20.100000000000001" customHeight="1">
      <c r="A28" s="1048"/>
      <c r="B28" s="1051" t="s">
        <v>971</v>
      </c>
      <c r="C28" s="1051"/>
      <c r="D28" s="241" t="s">
        <v>979</v>
      </c>
      <c r="E28" s="241" t="s">
        <v>980</v>
      </c>
      <c r="F28" s="240">
        <v>1</v>
      </c>
      <c r="G28" s="240">
        <v>350000</v>
      </c>
      <c r="H28" s="1057"/>
      <c r="I28" s="259"/>
      <c r="J28" s="251"/>
    </row>
    <row r="29" spans="1:10" s="244" customFormat="1" ht="20.100000000000001" customHeight="1">
      <c r="A29" s="1048"/>
      <c r="B29" s="1051" t="s">
        <v>971</v>
      </c>
      <c r="C29" s="1051"/>
      <c r="D29" s="241" t="s">
        <v>981</v>
      </c>
      <c r="E29" s="241" t="s">
        <v>982</v>
      </c>
      <c r="F29" s="240">
        <v>1</v>
      </c>
      <c r="G29" s="240">
        <v>202500</v>
      </c>
      <c r="H29" s="1057"/>
      <c r="I29" s="259"/>
      <c r="J29" s="251"/>
    </row>
    <row r="30" spans="1:10" s="244" customFormat="1" ht="20.100000000000001" customHeight="1">
      <c r="A30" s="1049"/>
      <c r="B30" s="1052" t="s">
        <v>971</v>
      </c>
      <c r="C30" s="1052"/>
      <c r="D30" s="241" t="s">
        <v>983</v>
      </c>
      <c r="E30" s="241" t="s">
        <v>984</v>
      </c>
      <c r="F30" s="240">
        <v>1</v>
      </c>
      <c r="G30" s="240">
        <v>300000</v>
      </c>
      <c r="H30" s="876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1047" t="s">
        <v>986</v>
      </c>
      <c r="B33" s="1050" t="s">
        <v>987</v>
      </c>
      <c r="C33" s="1050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1048" t="s">
        <v>986</v>
      </c>
      <c r="B34" s="1051" t="s">
        <v>987</v>
      </c>
      <c r="C34" s="1051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1049" t="s">
        <v>986</v>
      </c>
      <c r="B35" s="1052" t="s">
        <v>987</v>
      </c>
      <c r="C35" s="1052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1047" t="s">
        <v>993</v>
      </c>
      <c r="B40" s="1050" t="s">
        <v>994</v>
      </c>
      <c r="C40" s="1050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1048" t="s">
        <v>993</v>
      </c>
      <c r="B41" s="1051" t="s">
        <v>994</v>
      </c>
      <c r="C41" s="1051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1048" t="s">
        <v>993</v>
      </c>
      <c r="B42" s="1051" t="s">
        <v>994</v>
      </c>
      <c r="C42" s="1051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1048" t="s">
        <v>993</v>
      </c>
      <c r="B43" s="1051" t="s">
        <v>994</v>
      </c>
      <c r="C43" s="1051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1048" t="s">
        <v>993</v>
      </c>
      <c r="B44" s="1051" t="s">
        <v>994</v>
      </c>
      <c r="C44" s="1051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1049" t="s">
        <v>993</v>
      </c>
      <c r="B45" s="1052" t="s">
        <v>994</v>
      </c>
      <c r="C45" s="1052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1055" t="s">
        <v>1007</v>
      </c>
      <c r="B48" s="1050" t="s">
        <v>1008</v>
      </c>
      <c r="C48" s="1050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1057"/>
      <c r="B49" s="1051" t="s">
        <v>1008</v>
      </c>
      <c r="C49" s="1051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1057"/>
      <c r="B50" s="1051" t="s">
        <v>1008</v>
      </c>
      <c r="C50" s="1051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876"/>
      <c r="B51" s="1052" t="s">
        <v>1008</v>
      </c>
      <c r="C51" s="1052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1058" t="s">
        <v>688</v>
      </c>
      <c r="B1" s="1058"/>
      <c r="C1" s="1058"/>
      <c r="D1" s="1058"/>
      <c r="E1" s="1058"/>
      <c r="F1" s="1058"/>
      <c r="G1" s="1058"/>
      <c r="H1" s="1058"/>
      <c r="I1" s="1058"/>
      <c r="J1" s="1058"/>
      <c r="K1" s="1058"/>
      <c r="L1" s="1058"/>
      <c r="M1" s="1058"/>
      <c r="N1" s="1058"/>
      <c r="O1" s="1058"/>
      <c r="P1" s="1058"/>
      <c r="Q1" s="1058"/>
      <c r="R1" s="1058"/>
      <c r="S1" s="1058"/>
      <c r="T1" s="1058"/>
      <c r="U1" s="1058"/>
      <c r="V1" s="1058"/>
      <c r="W1" s="1058"/>
      <c r="X1" s="1058"/>
      <c r="Y1" s="1058"/>
      <c r="Z1" s="1058"/>
      <c r="AA1" s="1058"/>
      <c r="AB1" s="1058"/>
      <c r="AC1" s="1058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1059" t="s">
        <v>1025</v>
      </c>
      <c r="B1" s="1059"/>
      <c r="C1" s="1059"/>
      <c r="D1" s="1059"/>
      <c r="E1" s="1059"/>
      <c r="F1" s="1059"/>
      <c r="G1" s="1059"/>
      <c r="H1" s="1059"/>
      <c r="I1" s="1059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1060" t="s">
        <v>1326</v>
      </c>
      <c r="B1" s="1061"/>
      <c r="C1" s="1061"/>
      <c r="D1" s="1061"/>
      <c r="E1" s="1061"/>
      <c r="F1" s="1061"/>
      <c r="G1" s="1061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1063" t="s">
        <v>1328</v>
      </c>
      <c r="B1" s="1041"/>
      <c r="C1" s="1041"/>
      <c r="D1" s="1041"/>
      <c r="E1" s="1041"/>
      <c r="F1" s="1041"/>
      <c r="G1" s="1041"/>
      <c r="H1" s="1041"/>
      <c r="I1" s="1041"/>
      <c r="J1" s="1041"/>
      <c r="K1" s="1041"/>
      <c r="L1" s="1041"/>
      <c r="M1" s="1041"/>
      <c r="N1" s="1041"/>
      <c r="O1" s="1041"/>
      <c r="P1" s="1041"/>
      <c r="Q1" s="1041"/>
      <c r="R1" s="1041"/>
      <c r="S1" s="1041"/>
      <c r="T1" s="1041"/>
      <c r="U1" s="1041"/>
      <c r="V1" s="1041"/>
      <c r="W1" s="1041"/>
      <c r="X1" s="1041"/>
      <c r="Y1" s="1041"/>
      <c r="Z1" s="1041"/>
      <c r="AA1" s="1041"/>
      <c r="AB1" s="1041"/>
      <c r="AC1" s="1041"/>
      <c r="AD1" s="1041"/>
      <c r="AE1" s="1041"/>
      <c r="AF1" s="1041"/>
      <c r="AG1" s="1041"/>
      <c r="AH1" s="1041"/>
      <c r="AI1" s="1041"/>
      <c r="AJ1" s="1041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1064" t="s">
        <v>1336</v>
      </c>
      <c r="J2" s="1064"/>
      <c r="K2" s="1064"/>
      <c r="L2" s="1064" t="s">
        <v>1337</v>
      </c>
      <c r="M2" s="1064"/>
      <c r="N2" s="1064"/>
      <c r="O2" s="1064" t="s">
        <v>1338</v>
      </c>
      <c r="P2" s="1064"/>
      <c r="Q2" s="1064"/>
      <c r="R2" s="1064" t="s">
        <v>1339</v>
      </c>
      <c r="S2" s="1064"/>
      <c r="T2" s="1064"/>
      <c r="U2" s="1064" t="s">
        <v>1340</v>
      </c>
      <c r="V2" s="1064"/>
      <c r="W2" s="1064"/>
      <c r="X2" s="1064" t="s">
        <v>1341</v>
      </c>
      <c r="Y2" s="1064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1062" t="s">
        <v>1360</v>
      </c>
      <c r="T45" s="1062"/>
      <c r="U45" s="1062"/>
      <c r="V45" s="1062"/>
      <c r="W45" s="1062"/>
      <c r="X45" s="1062"/>
      <c r="Y45" s="1062"/>
    </row>
    <row r="46" spans="1:36">
      <c r="S46" s="1062">
        <v>42984</v>
      </c>
      <c r="T46" s="1062"/>
      <c r="U46" s="1062"/>
      <c r="V46" s="1062"/>
      <c r="W46" s="1062"/>
      <c r="X46" s="1062"/>
      <c r="Y46" s="1062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12"/>
  <sheetViews>
    <sheetView workbookViewId="0">
      <selection activeCell="F7" sqref="F7"/>
    </sheetView>
  </sheetViews>
  <sheetFormatPr defaultColWidth="9" defaultRowHeight="13.5" outlineLevelRow="2"/>
  <cols>
    <col min="1" max="1" width="6.5" style="624" customWidth="1"/>
    <col min="2" max="2" width="23.75" style="624" customWidth="1"/>
    <col min="3" max="3" width="11.75" style="598" customWidth="1"/>
    <col min="4" max="4" width="12" style="624" customWidth="1"/>
    <col min="5" max="5" width="10" style="625" customWidth="1"/>
    <col min="6" max="6" width="10.75" style="625" customWidth="1"/>
    <col min="7" max="7" width="13.125" style="625" customWidth="1"/>
    <col min="8" max="8" width="9.375" style="625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3" ht="30" customHeight="1">
      <c r="A1" s="1065" t="s">
        <v>1841</v>
      </c>
      <c r="B1" s="1065"/>
      <c r="C1" s="1065"/>
      <c r="D1" s="1065"/>
      <c r="E1" s="1065"/>
      <c r="F1" s="1065"/>
      <c r="G1" s="1065"/>
      <c r="H1" s="1065"/>
      <c r="I1" s="1065"/>
      <c r="J1" s="1066"/>
      <c r="K1" s="1066"/>
      <c r="L1" s="1066"/>
    </row>
    <row r="2" spans="1:13" s="598" customFormat="1" ht="45.75" customHeight="1">
      <c r="A2" s="593" t="s">
        <v>1</v>
      </c>
      <c r="B2" s="594" t="s">
        <v>2</v>
      </c>
      <c r="C2" s="594" t="s">
        <v>1815</v>
      </c>
      <c r="D2" s="595" t="s">
        <v>1679</v>
      </c>
      <c r="E2" s="595" t="s">
        <v>1816</v>
      </c>
      <c r="F2" s="595" t="s">
        <v>1817</v>
      </c>
      <c r="G2" s="595" t="s">
        <v>1818</v>
      </c>
      <c r="H2" s="595" t="s">
        <v>1819</v>
      </c>
      <c r="I2" s="595" t="s">
        <v>1820</v>
      </c>
      <c r="J2" s="596" t="s">
        <v>1821</v>
      </c>
      <c r="K2" s="597" t="s">
        <v>1822</v>
      </c>
      <c r="L2" s="597" t="s">
        <v>1823</v>
      </c>
    </row>
    <row r="3" spans="1:13" s="605" customFormat="1" ht="39.950000000000003" customHeight="1" outlineLevel="2">
      <c r="A3" s="599">
        <v>1</v>
      </c>
      <c r="B3" s="600" t="s">
        <v>1824</v>
      </c>
      <c r="C3" s="599" t="s">
        <v>1825</v>
      </c>
      <c r="D3" s="600" t="s">
        <v>1826</v>
      </c>
      <c r="E3" s="599">
        <v>15</v>
      </c>
      <c r="F3" s="599">
        <v>6600</v>
      </c>
      <c r="G3" s="601">
        <v>5731</v>
      </c>
      <c r="H3" s="599">
        <v>2313</v>
      </c>
      <c r="I3" s="599">
        <v>221436</v>
      </c>
      <c r="J3" s="602">
        <f>I3/12*8</f>
        <v>147624</v>
      </c>
      <c r="K3" s="603"/>
      <c r="L3" s="604">
        <f>J3+K3</f>
        <v>147624</v>
      </c>
    </row>
    <row r="4" spans="1:13" s="161" customFormat="1" ht="39.950000000000003" customHeight="1" outlineLevel="2">
      <c r="A4" s="599">
        <v>2</v>
      </c>
      <c r="B4" s="606" t="s">
        <v>1827</v>
      </c>
      <c r="C4" s="607" t="s">
        <v>1825</v>
      </c>
      <c r="D4" s="608" t="s">
        <v>1828</v>
      </c>
      <c r="E4" s="607">
        <v>15</v>
      </c>
      <c r="F4" s="607">
        <v>7198</v>
      </c>
      <c r="G4" s="609">
        <v>6023</v>
      </c>
      <c r="H4" s="607">
        <v>2520</v>
      </c>
      <c r="I4" s="599">
        <v>221436</v>
      </c>
      <c r="J4" s="610">
        <f>I4/12*8</f>
        <v>147624</v>
      </c>
      <c r="K4" s="611"/>
      <c r="L4" s="604">
        <f t="shared" ref="L4:L10" si="0">J4+K4</f>
        <v>147624</v>
      </c>
    </row>
    <row r="5" spans="1:13" s="161" customFormat="1" ht="39.950000000000003" customHeight="1" outlineLevel="2">
      <c r="A5" s="599">
        <v>3</v>
      </c>
      <c r="B5" s="600" t="s">
        <v>1829</v>
      </c>
      <c r="C5" s="607" t="s">
        <v>1825</v>
      </c>
      <c r="D5" s="600" t="s">
        <v>1830</v>
      </c>
      <c r="E5" s="612">
        <v>15</v>
      </c>
      <c r="F5" s="612">
        <v>7232</v>
      </c>
      <c r="G5" s="613">
        <v>5785</v>
      </c>
      <c r="H5" s="612">
        <v>2532</v>
      </c>
      <c r="I5" s="599">
        <v>221436</v>
      </c>
      <c r="J5" s="610">
        <f>I5/12*8</f>
        <v>147624</v>
      </c>
      <c r="K5" s="611"/>
      <c r="L5" s="604">
        <f t="shared" si="0"/>
        <v>147624</v>
      </c>
    </row>
    <row r="6" spans="1:13" s="161" customFormat="1" ht="39.950000000000003" customHeight="1" outlineLevel="2">
      <c r="A6" s="599">
        <v>4</v>
      </c>
      <c r="B6" s="606" t="s">
        <v>1831</v>
      </c>
      <c r="C6" s="607" t="s">
        <v>1825</v>
      </c>
      <c r="D6" s="608" t="s">
        <v>1832</v>
      </c>
      <c r="E6" s="607">
        <v>24</v>
      </c>
      <c r="F6" s="607">
        <v>24644</v>
      </c>
      <c r="G6" s="609">
        <v>13724</v>
      </c>
      <c r="H6" s="607">
        <v>8626</v>
      </c>
      <c r="I6" s="599">
        <v>221436</v>
      </c>
      <c r="J6" s="610">
        <f>I6/12*8</f>
        <v>147624</v>
      </c>
      <c r="K6" s="611"/>
      <c r="L6" s="604">
        <f t="shared" si="0"/>
        <v>147624</v>
      </c>
    </row>
    <row r="7" spans="1:13" s="161" customFormat="1" ht="39.950000000000003" customHeight="1" outlineLevel="2">
      <c r="A7" s="599">
        <v>5</v>
      </c>
      <c r="B7" s="606" t="s">
        <v>1833</v>
      </c>
      <c r="C7" s="607" t="s">
        <v>1825</v>
      </c>
      <c r="D7" s="614" t="s">
        <v>1834</v>
      </c>
      <c r="E7" s="607">
        <v>24</v>
      </c>
      <c r="F7" s="607">
        <v>22972</v>
      </c>
      <c r="G7" s="609">
        <v>13717</v>
      </c>
      <c r="H7" s="607">
        <v>8041</v>
      </c>
      <c r="I7" s="599">
        <v>221436</v>
      </c>
      <c r="J7" s="610">
        <f>I7/12*6</f>
        <v>110718</v>
      </c>
      <c r="K7" s="611"/>
      <c r="L7" s="604">
        <f t="shared" si="0"/>
        <v>110718</v>
      </c>
    </row>
    <row r="8" spans="1:13" s="161" customFormat="1" ht="39.950000000000003" customHeight="1" outlineLevel="2">
      <c r="A8" s="599">
        <v>6</v>
      </c>
      <c r="B8" s="606" t="s">
        <v>1835</v>
      </c>
      <c r="C8" s="607" t="s">
        <v>1825</v>
      </c>
      <c r="D8" s="608" t="s">
        <v>1836</v>
      </c>
      <c r="E8" s="607">
        <v>30</v>
      </c>
      <c r="F8" s="607">
        <v>26608</v>
      </c>
      <c r="G8" s="609">
        <v>15747</v>
      </c>
      <c r="H8" s="607">
        <v>9443</v>
      </c>
      <c r="I8" s="599">
        <v>221436</v>
      </c>
      <c r="J8" s="610">
        <f>I8/12*8</f>
        <v>147624</v>
      </c>
      <c r="K8" s="611"/>
      <c r="L8" s="604">
        <f t="shared" si="0"/>
        <v>147624</v>
      </c>
    </row>
    <row r="9" spans="1:13" s="161" customFormat="1" ht="39.950000000000003" customHeight="1" outlineLevel="1">
      <c r="A9" s="615"/>
      <c r="B9" s="616"/>
      <c r="C9" s="617" t="s">
        <v>743</v>
      </c>
      <c r="D9" s="618"/>
      <c r="E9" s="619"/>
      <c r="F9" s="619"/>
      <c r="G9" s="620">
        <f t="shared" ref="G9:L9" si="1">SUBTOTAL(9,G3:G8)</f>
        <v>60727</v>
      </c>
      <c r="H9" s="619">
        <f t="shared" si="1"/>
        <v>33475</v>
      </c>
      <c r="I9" s="615">
        <f t="shared" si="1"/>
        <v>1328616</v>
      </c>
      <c r="J9" s="621">
        <f t="shared" si="1"/>
        <v>848838</v>
      </c>
      <c r="K9" s="592">
        <f t="shared" si="1"/>
        <v>0</v>
      </c>
      <c r="L9" s="622">
        <f t="shared" si="1"/>
        <v>848838</v>
      </c>
    </row>
    <row r="10" spans="1:13" s="161" customFormat="1" ht="39.950000000000003" customHeight="1" outlineLevel="2">
      <c r="A10" s="599">
        <v>1</v>
      </c>
      <c r="B10" s="606" t="s">
        <v>1837</v>
      </c>
      <c r="C10" s="607" t="s">
        <v>1838</v>
      </c>
      <c r="D10" s="608" t="s">
        <v>1839</v>
      </c>
      <c r="E10" s="599">
        <v>26</v>
      </c>
      <c r="F10" s="599">
        <v>14006</v>
      </c>
      <c r="G10" s="601">
        <v>8932</v>
      </c>
      <c r="H10" s="599">
        <v>4903</v>
      </c>
      <c r="I10" s="599">
        <v>221436</v>
      </c>
      <c r="J10" s="610">
        <f>-I10/12*4</f>
        <v>-73812</v>
      </c>
      <c r="K10" s="152">
        <f>-H10*5</f>
        <v>-24515</v>
      </c>
      <c r="L10" s="604">
        <f t="shared" si="0"/>
        <v>-98327</v>
      </c>
      <c r="M10" s="161" t="s">
        <v>1840</v>
      </c>
    </row>
    <row r="11" spans="1:13" s="161" customFormat="1" ht="39.950000000000003" customHeight="1" outlineLevel="1">
      <c r="A11" s="615"/>
      <c r="B11" s="616"/>
      <c r="C11" s="619" t="s">
        <v>1200</v>
      </c>
      <c r="D11" s="618"/>
      <c r="E11" s="615"/>
      <c r="F11" s="615"/>
      <c r="G11" s="623">
        <f t="shared" ref="G11:L11" si="2">SUBTOTAL(9,G10:G10)</f>
        <v>8932</v>
      </c>
      <c r="H11" s="615">
        <f t="shared" si="2"/>
        <v>4903</v>
      </c>
      <c r="I11" s="615">
        <f t="shared" si="2"/>
        <v>221436</v>
      </c>
      <c r="J11" s="621">
        <f t="shared" si="2"/>
        <v>-73812</v>
      </c>
      <c r="K11" s="592">
        <f t="shared" si="2"/>
        <v>-24515</v>
      </c>
      <c r="L11" s="622">
        <f t="shared" si="2"/>
        <v>-98327</v>
      </c>
    </row>
    <row r="12" spans="1:13" s="161" customFormat="1" ht="39.950000000000003" customHeight="1">
      <c r="A12" s="615"/>
      <c r="B12" s="616"/>
      <c r="C12" s="619" t="s">
        <v>487</v>
      </c>
      <c r="D12" s="618"/>
      <c r="E12" s="615"/>
      <c r="F12" s="615"/>
      <c r="G12" s="623">
        <f t="shared" ref="G12:L12" si="3">SUBTOTAL(9,G3:G10)</f>
        <v>69659</v>
      </c>
      <c r="H12" s="615">
        <f t="shared" si="3"/>
        <v>38378</v>
      </c>
      <c r="I12" s="615">
        <f t="shared" si="3"/>
        <v>1550052</v>
      </c>
      <c r="J12" s="621">
        <f t="shared" si="3"/>
        <v>775026</v>
      </c>
      <c r="K12" s="592">
        <f t="shared" si="3"/>
        <v>-24515</v>
      </c>
      <c r="L12" s="622">
        <f t="shared" si="3"/>
        <v>750511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L30"/>
  <sheetViews>
    <sheetView topLeftCell="A25" workbookViewId="0">
      <selection activeCell="C30" sqref="C30"/>
    </sheetView>
  </sheetViews>
  <sheetFormatPr defaultRowHeight="13.5"/>
  <cols>
    <col min="1" max="1" width="6.125" style="281" customWidth="1"/>
    <col min="2" max="2" width="22.125" style="281" customWidth="1"/>
    <col min="3" max="3" width="9" style="281"/>
    <col min="4" max="4" width="15.875" style="281" customWidth="1"/>
    <col min="5" max="5" width="24.25" style="281" customWidth="1"/>
    <col min="6" max="6" width="12.25" style="281" customWidth="1"/>
    <col min="7" max="7" width="13.5" style="168" customWidth="1"/>
    <col min="8" max="8" width="9" style="281"/>
    <col min="9" max="9" width="14.25" style="168" customWidth="1"/>
    <col min="10" max="10" width="30.875" style="281" customWidth="1"/>
    <col min="11" max="16384" width="9" style="281"/>
  </cols>
  <sheetData>
    <row r="1" spans="1:12" ht="18.75">
      <c r="A1" s="1067" t="s">
        <v>1842</v>
      </c>
      <c r="B1" s="1068"/>
      <c r="C1" s="1068"/>
      <c r="D1" s="1068"/>
      <c r="E1" s="1068"/>
      <c r="F1" s="1068"/>
      <c r="G1" s="1069"/>
      <c r="H1" s="1068"/>
      <c r="I1" s="1069"/>
      <c r="J1" s="1068"/>
    </row>
    <row r="2" spans="1:12" ht="24">
      <c r="A2" s="626" t="s">
        <v>1</v>
      </c>
      <c r="B2" s="627" t="s">
        <v>366</v>
      </c>
      <c r="C2" s="627" t="s">
        <v>2</v>
      </c>
      <c r="D2" s="627" t="s">
        <v>691</v>
      </c>
      <c r="E2" s="627" t="s">
        <v>692</v>
      </c>
      <c r="F2" s="627" t="s">
        <v>1843</v>
      </c>
      <c r="G2" s="628" t="s">
        <v>694</v>
      </c>
      <c r="H2" s="629" t="s">
        <v>695</v>
      </c>
      <c r="I2" s="628" t="s">
        <v>1844</v>
      </c>
      <c r="J2" s="626" t="s">
        <v>25</v>
      </c>
    </row>
    <row r="3" spans="1:12" ht="30" customHeight="1">
      <c r="A3" s="630">
        <v>1</v>
      </c>
      <c r="B3" s="630" t="s">
        <v>1845</v>
      </c>
      <c r="C3" s="630" t="s">
        <v>1846</v>
      </c>
      <c r="D3" s="630" t="s">
        <v>1847</v>
      </c>
      <c r="E3" s="630" t="s">
        <v>1848</v>
      </c>
      <c r="F3" s="631" t="s">
        <v>1171</v>
      </c>
      <c r="G3" s="632">
        <v>35000</v>
      </c>
      <c r="H3" s="630">
        <v>1</v>
      </c>
      <c r="I3" s="632">
        <f t="shared" ref="I3:I29" si="0">G3*H3</f>
        <v>35000</v>
      </c>
      <c r="J3" s="630" t="s">
        <v>1849</v>
      </c>
    </row>
    <row r="4" spans="1:12" ht="30" customHeight="1">
      <c r="A4" s="630">
        <v>2</v>
      </c>
      <c r="B4" s="630" t="s">
        <v>1845</v>
      </c>
      <c r="C4" s="630" t="s">
        <v>1846</v>
      </c>
      <c r="D4" s="630" t="s">
        <v>1850</v>
      </c>
      <c r="E4" s="630" t="s">
        <v>1851</v>
      </c>
      <c r="F4" s="633" t="s">
        <v>1171</v>
      </c>
      <c r="G4" s="632">
        <v>43000</v>
      </c>
      <c r="H4" s="630">
        <v>1</v>
      </c>
      <c r="I4" s="632">
        <f t="shared" si="0"/>
        <v>43000</v>
      </c>
      <c r="J4" s="630" t="s">
        <v>1852</v>
      </c>
    </row>
    <row r="5" spans="1:12" ht="30" customHeight="1">
      <c r="A5" s="630">
        <v>3</v>
      </c>
      <c r="B5" s="630" t="s">
        <v>1845</v>
      </c>
      <c r="C5" s="630" t="s">
        <v>1846</v>
      </c>
      <c r="D5" s="631" t="s">
        <v>1853</v>
      </c>
      <c r="E5" s="631" t="s">
        <v>1854</v>
      </c>
      <c r="F5" s="633" t="s">
        <v>1171</v>
      </c>
      <c r="G5" s="634">
        <v>250000</v>
      </c>
      <c r="H5" s="630">
        <v>1</v>
      </c>
      <c r="I5" s="632">
        <f t="shared" si="0"/>
        <v>250000</v>
      </c>
      <c r="J5" s="631" t="s">
        <v>1855</v>
      </c>
    </row>
    <row r="6" spans="1:12" ht="30" customHeight="1">
      <c r="A6" s="630">
        <v>4</v>
      </c>
      <c r="B6" s="630" t="s">
        <v>1845</v>
      </c>
      <c r="C6" s="630" t="s">
        <v>1846</v>
      </c>
      <c r="D6" s="631" t="s">
        <v>1856</v>
      </c>
      <c r="E6" s="631" t="s">
        <v>1857</v>
      </c>
      <c r="F6" s="633" t="s">
        <v>1171</v>
      </c>
      <c r="G6" s="634">
        <v>10000</v>
      </c>
      <c r="H6" s="630">
        <v>1</v>
      </c>
      <c r="I6" s="632">
        <f t="shared" si="0"/>
        <v>10000</v>
      </c>
      <c r="J6" s="631" t="s">
        <v>1858</v>
      </c>
      <c r="L6" s="635"/>
    </row>
    <row r="7" spans="1:12" ht="30" customHeight="1">
      <c r="A7" s="630">
        <v>5</v>
      </c>
      <c r="B7" s="630" t="s">
        <v>1845</v>
      </c>
      <c r="C7" s="630" t="s">
        <v>1859</v>
      </c>
      <c r="D7" s="630" t="s">
        <v>1177</v>
      </c>
      <c r="E7" s="630" t="s">
        <v>1860</v>
      </c>
      <c r="F7" s="633" t="s">
        <v>1171</v>
      </c>
      <c r="G7" s="632">
        <v>110000</v>
      </c>
      <c r="H7" s="630">
        <v>1</v>
      </c>
      <c r="I7" s="632">
        <f t="shared" si="0"/>
        <v>110000</v>
      </c>
      <c r="J7" s="631" t="s">
        <v>1861</v>
      </c>
    </row>
    <row r="8" spans="1:12" ht="30" customHeight="1">
      <c r="A8" s="630">
        <v>6</v>
      </c>
      <c r="B8" s="630" t="s">
        <v>1845</v>
      </c>
      <c r="C8" s="630" t="s">
        <v>1859</v>
      </c>
      <c r="D8" s="636" t="s">
        <v>1862</v>
      </c>
      <c r="E8" s="636" t="s">
        <v>1862</v>
      </c>
      <c r="F8" s="630" t="s">
        <v>1101</v>
      </c>
      <c r="G8" s="632">
        <v>10000</v>
      </c>
      <c r="H8" s="630">
        <v>1</v>
      </c>
      <c r="I8" s="632">
        <f t="shared" si="0"/>
        <v>10000</v>
      </c>
      <c r="J8" s="630"/>
    </row>
    <row r="9" spans="1:12" ht="30" customHeight="1">
      <c r="A9" s="630">
        <v>7</v>
      </c>
      <c r="B9" s="630" t="s">
        <v>1845</v>
      </c>
      <c r="C9" s="630" t="s">
        <v>1859</v>
      </c>
      <c r="D9" s="636" t="s">
        <v>1863</v>
      </c>
      <c r="E9" s="636" t="s">
        <v>1863</v>
      </c>
      <c r="F9" s="630" t="s">
        <v>1101</v>
      </c>
      <c r="G9" s="632">
        <v>20000</v>
      </c>
      <c r="H9" s="630">
        <v>1</v>
      </c>
      <c r="I9" s="632">
        <f t="shared" si="0"/>
        <v>20000</v>
      </c>
      <c r="J9" s="630"/>
    </row>
    <row r="10" spans="1:12" ht="30" customHeight="1">
      <c r="A10" s="630">
        <v>8</v>
      </c>
      <c r="B10" s="630" t="s">
        <v>1845</v>
      </c>
      <c r="C10" s="630" t="s">
        <v>1859</v>
      </c>
      <c r="D10" s="636" t="s">
        <v>1864</v>
      </c>
      <c r="E10" s="630" t="s">
        <v>1865</v>
      </c>
      <c r="F10" s="630" t="s">
        <v>1101</v>
      </c>
      <c r="G10" s="632">
        <v>30000</v>
      </c>
      <c r="H10" s="630">
        <v>1</v>
      </c>
      <c r="I10" s="632">
        <f t="shared" si="0"/>
        <v>30000</v>
      </c>
      <c r="J10" s="630"/>
    </row>
    <row r="11" spans="1:12" ht="30" customHeight="1">
      <c r="A11" s="630">
        <v>9</v>
      </c>
      <c r="B11" s="630" t="s">
        <v>1845</v>
      </c>
      <c r="C11" s="630" t="s">
        <v>1169</v>
      </c>
      <c r="D11" s="636" t="s">
        <v>1866</v>
      </c>
      <c r="E11" s="636" t="s">
        <v>1866</v>
      </c>
      <c r="F11" s="630" t="s">
        <v>1101</v>
      </c>
      <c r="G11" s="632">
        <v>250</v>
      </c>
      <c r="H11" s="636">
        <v>400</v>
      </c>
      <c r="I11" s="632">
        <f t="shared" si="0"/>
        <v>100000</v>
      </c>
      <c r="J11" s="630" t="s">
        <v>1867</v>
      </c>
    </row>
    <row r="12" spans="1:12" ht="30" customHeight="1">
      <c r="A12" s="630">
        <v>10</v>
      </c>
      <c r="B12" s="630" t="s">
        <v>1845</v>
      </c>
      <c r="C12" s="630" t="s">
        <v>1169</v>
      </c>
      <c r="D12" s="630" t="s">
        <v>1868</v>
      </c>
      <c r="E12" s="630" t="s">
        <v>1869</v>
      </c>
      <c r="F12" s="630" t="s">
        <v>1870</v>
      </c>
      <c r="G12" s="632">
        <v>1100</v>
      </c>
      <c r="H12" s="630">
        <v>10</v>
      </c>
      <c r="I12" s="632">
        <f t="shared" si="0"/>
        <v>11000</v>
      </c>
      <c r="J12" s="630" t="s">
        <v>1871</v>
      </c>
    </row>
    <row r="13" spans="1:12" ht="30" customHeight="1">
      <c r="A13" s="630">
        <v>11</v>
      </c>
      <c r="B13" s="630" t="s">
        <v>1845</v>
      </c>
      <c r="C13" s="630" t="s">
        <v>1169</v>
      </c>
      <c r="D13" s="630" t="s">
        <v>1872</v>
      </c>
      <c r="E13" s="630" t="s">
        <v>1873</v>
      </c>
      <c r="F13" s="630" t="s">
        <v>1874</v>
      </c>
      <c r="G13" s="632">
        <v>2000</v>
      </c>
      <c r="H13" s="630">
        <v>10</v>
      </c>
      <c r="I13" s="632">
        <f t="shared" si="0"/>
        <v>20000</v>
      </c>
      <c r="J13" s="630" t="s">
        <v>1871</v>
      </c>
    </row>
    <row r="14" spans="1:12" ht="30" customHeight="1">
      <c r="A14" s="630">
        <v>12</v>
      </c>
      <c r="B14" s="630" t="s">
        <v>1845</v>
      </c>
      <c r="C14" s="630" t="s">
        <v>1169</v>
      </c>
      <c r="D14" s="636" t="s">
        <v>1875</v>
      </c>
      <c r="E14" s="636" t="s">
        <v>1876</v>
      </c>
      <c r="F14" s="630" t="s">
        <v>1101</v>
      </c>
      <c r="G14" s="632">
        <v>3000</v>
      </c>
      <c r="H14" s="636">
        <v>1</v>
      </c>
      <c r="I14" s="632">
        <f t="shared" si="0"/>
        <v>3000</v>
      </c>
      <c r="J14" s="630" t="s">
        <v>1871</v>
      </c>
    </row>
    <row r="15" spans="1:12" ht="30" customHeight="1">
      <c r="A15" s="630">
        <v>13</v>
      </c>
      <c r="B15" s="630" t="s">
        <v>1845</v>
      </c>
      <c r="C15" s="630" t="s">
        <v>1169</v>
      </c>
      <c r="D15" s="636" t="s">
        <v>1877</v>
      </c>
      <c r="E15" s="636"/>
      <c r="F15" s="630" t="s">
        <v>1441</v>
      </c>
      <c r="G15" s="632">
        <v>1000</v>
      </c>
      <c r="H15" s="636">
        <v>4</v>
      </c>
      <c r="I15" s="632">
        <f t="shared" si="0"/>
        <v>4000</v>
      </c>
      <c r="J15" s="630" t="s">
        <v>1871</v>
      </c>
    </row>
    <row r="16" spans="1:12" ht="30" customHeight="1">
      <c r="A16" s="630">
        <v>14</v>
      </c>
      <c r="B16" s="630" t="s">
        <v>1845</v>
      </c>
      <c r="C16" s="630" t="s">
        <v>1169</v>
      </c>
      <c r="D16" s="631" t="s">
        <v>1878</v>
      </c>
      <c r="E16" s="630"/>
      <c r="F16" s="631" t="s">
        <v>1879</v>
      </c>
      <c r="G16" s="632">
        <v>2000</v>
      </c>
      <c r="H16" s="630">
        <v>8</v>
      </c>
      <c r="I16" s="632">
        <f t="shared" si="0"/>
        <v>16000</v>
      </c>
      <c r="J16" s="630" t="s">
        <v>1871</v>
      </c>
    </row>
    <row r="17" spans="1:10" ht="30" customHeight="1">
      <c r="A17" s="630">
        <v>15</v>
      </c>
      <c r="B17" s="630" t="s">
        <v>1845</v>
      </c>
      <c r="C17" s="630" t="s">
        <v>1169</v>
      </c>
      <c r="D17" s="630" t="s">
        <v>1880</v>
      </c>
      <c r="E17" s="630" t="s">
        <v>1881</v>
      </c>
      <c r="F17" s="631" t="s">
        <v>1882</v>
      </c>
      <c r="G17" s="632">
        <v>200</v>
      </c>
      <c r="H17" s="630">
        <v>200</v>
      </c>
      <c r="I17" s="632">
        <f t="shared" si="0"/>
        <v>40000</v>
      </c>
      <c r="J17" s="630" t="s">
        <v>1883</v>
      </c>
    </row>
    <row r="18" spans="1:10" ht="30" customHeight="1">
      <c r="A18" s="630">
        <v>16</v>
      </c>
      <c r="B18" s="630" t="s">
        <v>1845</v>
      </c>
      <c r="C18" s="630" t="s">
        <v>1884</v>
      </c>
      <c r="D18" s="630" t="s">
        <v>1885</v>
      </c>
      <c r="E18" s="630" t="s">
        <v>1886</v>
      </c>
      <c r="F18" s="630" t="s">
        <v>1101</v>
      </c>
      <c r="G18" s="632">
        <v>5000</v>
      </c>
      <c r="H18" s="630">
        <v>2</v>
      </c>
      <c r="I18" s="632">
        <f t="shared" si="0"/>
        <v>10000</v>
      </c>
      <c r="J18" s="630" t="s">
        <v>1543</v>
      </c>
    </row>
    <row r="19" spans="1:10" ht="30" customHeight="1">
      <c r="A19" s="630">
        <v>17</v>
      </c>
      <c r="B19" s="630" t="s">
        <v>1845</v>
      </c>
      <c r="C19" s="630" t="s">
        <v>1884</v>
      </c>
      <c r="D19" s="630" t="s">
        <v>1887</v>
      </c>
      <c r="E19" s="630" t="s">
        <v>1888</v>
      </c>
      <c r="F19" s="630" t="s">
        <v>1101</v>
      </c>
      <c r="G19" s="632">
        <v>12000</v>
      </c>
      <c r="H19" s="630">
        <v>2</v>
      </c>
      <c r="I19" s="632">
        <f t="shared" si="0"/>
        <v>24000</v>
      </c>
      <c r="J19" s="630" t="s">
        <v>1743</v>
      </c>
    </row>
    <row r="20" spans="1:10" ht="30" customHeight="1">
      <c r="A20" s="630">
        <v>18</v>
      </c>
      <c r="B20" s="630" t="s">
        <v>1845</v>
      </c>
      <c r="C20" s="630" t="s">
        <v>1884</v>
      </c>
      <c r="D20" s="630" t="s">
        <v>1889</v>
      </c>
      <c r="E20" s="630" t="s">
        <v>1890</v>
      </c>
      <c r="F20" s="630" t="s">
        <v>1101</v>
      </c>
      <c r="G20" s="632">
        <v>2200</v>
      </c>
      <c r="H20" s="630">
        <v>1</v>
      </c>
      <c r="I20" s="632">
        <f t="shared" si="0"/>
        <v>2200</v>
      </c>
      <c r="J20" s="630" t="s">
        <v>1890</v>
      </c>
    </row>
    <row r="21" spans="1:10" ht="30" customHeight="1">
      <c r="A21" s="630">
        <v>19</v>
      </c>
      <c r="B21" s="630" t="s">
        <v>1845</v>
      </c>
      <c r="C21" s="630" t="s">
        <v>1884</v>
      </c>
      <c r="D21" s="630" t="s">
        <v>1891</v>
      </c>
      <c r="E21" s="630" t="s">
        <v>1890</v>
      </c>
      <c r="F21" s="630" t="s">
        <v>1101</v>
      </c>
      <c r="G21" s="632">
        <v>2400</v>
      </c>
      <c r="H21" s="630">
        <v>1</v>
      </c>
      <c r="I21" s="632">
        <f t="shared" si="0"/>
        <v>2400</v>
      </c>
      <c r="J21" s="630" t="s">
        <v>1890</v>
      </c>
    </row>
    <row r="22" spans="1:10" ht="30" customHeight="1">
      <c r="A22" s="630">
        <v>20</v>
      </c>
      <c r="B22" s="630" t="s">
        <v>1845</v>
      </c>
      <c r="C22" s="630" t="s">
        <v>1884</v>
      </c>
      <c r="D22" s="630" t="s">
        <v>1892</v>
      </c>
      <c r="E22" s="630" t="s">
        <v>1890</v>
      </c>
      <c r="F22" s="630" t="s">
        <v>1101</v>
      </c>
      <c r="G22" s="632">
        <v>2400</v>
      </c>
      <c r="H22" s="630">
        <v>1</v>
      </c>
      <c r="I22" s="632">
        <f t="shared" si="0"/>
        <v>2400</v>
      </c>
      <c r="J22" s="630" t="s">
        <v>1890</v>
      </c>
    </row>
    <row r="23" spans="1:10" ht="30" customHeight="1">
      <c r="A23" s="630">
        <v>21</v>
      </c>
      <c r="B23" s="630" t="s">
        <v>1845</v>
      </c>
      <c r="C23" s="630" t="s">
        <v>1884</v>
      </c>
      <c r="D23" s="630" t="s">
        <v>1893</v>
      </c>
      <c r="E23" s="630" t="s">
        <v>1890</v>
      </c>
      <c r="F23" s="630" t="s">
        <v>1101</v>
      </c>
      <c r="G23" s="632">
        <v>4000</v>
      </c>
      <c r="H23" s="630">
        <v>1</v>
      </c>
      <c r="I23" s="632">
        <f t="shared" si="0"/>
        <v>4000</v>
      </c>
      <c r="J23" s="630" t="s">
        <v>1890</v>
      </c>
    </row>
    <row r="24" spans="1:10" ht="30" customHeight="1">
      <c r="A24" s="630">
        <v>22</v>
      </c>
      <c r="B24" s="630" t="s">
        <v>1845</v>
      </c>
      <c r="C24" s="630" t="s">
        <v>1894</v>
      </c>
      <c r="D24" s="630" t="s">
        <v>1895</v>
      </c>
      <c r="E24" s="630" t="s">
        <v>1896</v>
      </c>
      <c r="F24" s="637" t="s">
        <v>1897</v>
      </c>
      <c r="G24" s="632">
        <v>7000</v>
      </c>
      <c r="H24" s="630">
        <v>4</v>
      </c>
      <c r="I24" s="632">
        <f t="shared" si="0"/>
        <v>28000</v>
      </c>
      <c r="J24" s="630" t="s">
        <v>1898</v>
      </c>
    </row>
    <row r="25" spans="1:10" ht="30" customHeight="1">
      <c r="A25" s="630">
        <v>23</v>
      </c>
      <c r="B25" s="630" t="s">
        <v>1845</v>
      </c>
      <c r="C25" s="630" t="s">
        <v>1894</v>
      </c>
      <c r="D25" s="630" t="s">
        <v>1895</v>
      </c>
      <c r="E25" s="630" t="s">
        <v>1899</v>
      </c>
      <c r="F25" s="637" t="s">
        <v>1897</v>
      </c>
      <c r="G25" s="632">
        <v>7000</v>
      </c>
      <c r="H25" s="630">
        <v>2</v>
      </c>
      <c r="I25" s="632">
        <f t="shared" si="0"/>
        <v>14000</v>
      </c>
      <c r="J25" s="630" t="s">
        <v>1900</v>
      </c>
    </row>
    <row r="26" spans="1:10" ht="30" customHeight="1">
      <c r="A26" s="630">
        <v>24</v>
      </c>
      <c r="B26" s="630" t="s">
        <v>1845</v>
      </c>
      <c r="C26" s="630" t="s">
        <v>1894</v>
      </c>
      <c r="D26" s="630" t="s">
        <v>1901</v>
      </c>
      <c r="E26" s="630" t="s">
        <v>1902</v>
      </c>
      <c r="F26" s="630" t="s">
        <v>1101</v>
      </c>
      <c r="G26" s="632">
        <v>200</v>
      </c>
      <c r="H26" s="630">
        <v>60</v>
      </c>
      <c r="I26" s="632">
        <f t="shared" si="0"/>
        <v>12000</v>
      </c>
      <c r="J26" s="630" t="s">
        <v>1903</v>
      </c>
    </row>
    <row r="27" spans="1:10" ht="30" customHeight="1">
      <c r="A27" s="630">
        <v>25</v>
      </c>
      <c r="B27" s="630" t="s">
        <v>1845</v>
      </c>
      <c r="C27" s="630" t="s">
        <v>281</v>
      </c>
      <c r="D27" s="630" t="s">
        <v>1904</v>
      </c>
      <c r="E27" s="630" t="s">
        <v>1904</v>
      </c>
      <c r="F27" s="631" t="s">
        <v>1171</v>
      </c>
      <c r="G27" s="632">
        <v>15000</v>
      </c>
      <c r="H27" s="630">
        <v>1</v>
      </c>
      <c r="I27" s="632">
        <f t="shared" si="0"/>
        <v>15000</v>
      </c>
      <c r="J27" s="630" t="s">
        <v>1905</v>
      </c>
    </row>
    <row r="28" spans="1:10" ht="30" customHeight="1">
      <c r="A28" s="630">
        <v>26</v>
      </c>
      <c r="B28" s="630" t="s">
        <v>1845</v>
      </c>
      <c r="C28" s="630" t="s">
        <v>1906</v>
      </c>
      <c r="D28" s="630" t="s">
        <v>1907</v>
      </c>
      <c r="E28" s="630" t="s">
        <v>1907</v>
      </c>
      <c r="F28" s="630" t="s">
        <v>1327</v>
      </c>
      <c r="G28" s="632">
        <v>220000</v>
      </c>
      <c r="H28" s="630">
        <v>1</v>
      </c>
      <c r="I28" s="632">
        <f t="shared" si="0"/>
        <v>220000</v>
      </c>
      <c r="J28" s="630"/>
    </row>
    <row r="29" spans="1:10" ht="30" customHeight="1">
      <c r="A29" s="630">
        <v>27</v>
      </c>
      <c r="B29" s="630" t="s">
        <v>1845</v>
      </c>
      <c r="C29" s="630" t="s">
        <v>1908</v>
      </c>
      <c r="D29" s="630" t="s">
        <v>1908</v>
      </c>
      <c r="E29" s="630" t="s">
        <v>1908</v>
      </c>
      <c r="F29" s="631" t="s">
        <v>1171</v>
      </c>
      <c r="G29" s="632">
        <v>200000</v>
      </c>
      <c r="H29" s="630">
        <v>1</v>
      </c>
      <c r="I29" s="632">
        <f t="shared" si="0"/>
        <v>200000</v>
      </c>
      <c r="J29" s="630" t="s">
        <v>1909</v>
      </c>
    </row>
    <row r="30" spans="1:10" ht="30" customHeight="1">
      <c r="A30" s="626"/>
      <c r="B30" s="626" t="s">
        <v>487</v>
      </c>
      <c r="C30" s="626"/>
      <c r="D30" s="626"/>
      <c r="E30" s="626"/>
      <c r="F30" s="626"/>
      <c r="G30" s="638"/>
      <c r="H30" s="626"/>
      <c r="I30" s="638">
        <f>SUM(I3:I29)</f>
        <v>1236000</v>
      </c>
      <c r="J30" s="630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XFA385"/>
  <sheetViews>
    <sheetView topLeftCell="A265" workbookViewId="0">
      <selection activeCell="K273" sqref="K273:K285"/>
    </sheetView>
  </sheetViews>
  <sheetFormatPr defaultColWidth="9" defaultRowHeight="30" customHeight="1" outlineLevelRow="3"/>
  <cols>
    <col min="1" max="1" width="4.125" style="681" customWidth="1"/>
    <col min="2" max="2" width="7" style="681" customWidth="1"/>
    <col min="3" max="3" width="10.25" style="681" customWidth="1"/>
    <col min="4" max="4" width="35.125" style="681" customWidth="1"/>
    <col min="5" max="5" width="15.875" style="681" customWidth="1"/>
    <col min="6" max="6" width="9.25" style="681" customWidth="1"/>
    <col min="7" max="7" width="11.625" style="681" customWidth="1"/>
    <col min="8" max="8" width="7.875" style="681" customWidth="1"/>
    <col min="9" max="9" width="9.5" style="681" customWidth="1"/>
    <col min="10" max="10" width="7.25" style="681" customWidth="1"/>
    <col min="11" max="11" width="12.5" style="681" customWidth="1"/>
    <col min="12" max="12" width="9.625" style="681" customWidth="1"/>
    <col min="13" max="16381" width="9" style="681"/>
    <col min="16382" max="16384" width="9" style="682"/>
  </cols>
  <sheetData>
    <row r="1" spans="1:12" s="681" customFormat="1" ht="30" customHeight="1">
      <c r="A1" s="1070" t="s">
        <v>2165</v>
      </c>
      <c r="B1" s="1070"/>
      <c r="C1" s="1070"/>
      <c r="D1" s="1070"/>
      <c r="E1" s="1070"/>
      <c r="F1" s="1070"/>
      <c r="G1" s="1070"/>
      <c r="H1" s="1070"/>
      <c r="I1" s="1070"/>
      <c r="J1" s="1070"/>
      <c r="K1" s="1070"/>
      <c r="L1" s="1070"/>
    </row>
    <row r="2" spans="1:12" s="681" customFormat="1" ht="24.95" customHeight="1">
      <c r="A2" s="683" t="s">
        <v>1</v>
      </c>
      <c r="B2" s="684" t="s">
        <v>2166</v>
      </c>
      <c r="C2" s="684" t="s">
        <v>2167</v>
      </c>
      <c r="D2" s="685" t="s">
        <v>1362</v>
      </c>
      <c r="E2" s="684" t="s">
        <v>2</v>
      </c>
      <c r="F2" s="684" t="s">
        <v>691</v>
      </c>
      <c r="G2" s="684" t="s">
        <v>692</v>
      </c>
      <c r="H2" s="684" t="s">
        <v>2168</v>
      </c>
      <c r="I2" s="686" t="s">
        <v>695</v>
      </c>
      <c r="J2" s="683" t="s">
        <v>694</v>
      </c>
      <c r="K2" s="686" t="s">
        <v>2169</v>
      </c>
      <c r="L2" s="687" t="s">
        <v>25</v>
      </c>
    </row>
    <row r="3" spans="1:12" s="681" customFormat="1" ht="24.95" customHeight="1">
      <c r="A3" s="688"/>
      <c r="B3" s="688" t="s">
        <v>487</v>
      </c>
      <c r="C3" s="688"/>
      <c r="D3" s="689"/>
      <c r="E3" s="690"/>
      <c r="F3" s="691"/>
      <c r="G3" s="691"/>
      <c r="H3" s="692"/>
      <c r="I3" s="693"/>
      <c r="J3" s="694"/>
      <c r="K3" s="695">
        <f>SUBTOTAL(9,K6:K384)</f>
        <v>7439200</v>
      </c>
      <c r="L3" s="691"/>
    </row>
    <row r="4" spans="1:12" s="681" customFormat="1" ht="24.95" customHeight="1" outlineLevel="1">
      <c r="A4" s="688"/>
      <c r="B4" s="688" t="s">
        <v>1190</v>
      </c>
      <c r="C4" s="688"/>
      <c r="D4" s="689"/>
      <c r="E4" s="690"/>
      <c r="F4" s="691"/>
      <c r="G4" s="691"/>
      <c r="H4" s="692"/>
      <c r="I4" s="693"/>
      <c r="J4" s="694"/>
      <c r="K4" s="695">
        <f>SUBTOTAL(9,K6:K27)</f>
        <v>222000</v>
      </c>
      <c r="L4" s="691"/>
    </row>
    <row r="5" spans="1:12" s="681" customFormat="1" ht="24.95" customHeight="1" outlineLevel="1">
      <c r="A5" s="688"/>
      <c r="B5" s="688"/>
      <c r="C5" s="688"/>
      <c r="D5" s="689" t="s">
        <v>2170</v>
      </c>
      <c r="E5" s="690"/>
      <c r="F5" s="691"/>
      <c r="G5" s="691"/>
      <c r="H5" s="692"/>
      <c r="I5" s="693"/>
      <c r="J5" s="694"/>
      <c r="K5" s="695">
        <f>SUBTOTAL(9,K6:K9)</f>
        <v>41500</v>
      </c>
      <c r="L5" s="691"/>
    </row>
    <row r="6" spans="1:12" s="681" customFormat="1" ht="24.95" customHeight="1" outlineLevel="3">
      <c r="A6" s="696">
        <v>1</v>
      </c>
      <c r="B6" s="696" t="s">
        <v>2171</v>
      </c>
      <c r="C6" s="696" t="s">
        <v>1354</v>
      </c>
      <c r="D6" s="697" t="s">
        <v>390</v>
      </c>
      <c r="E6" s="698" t="s">
        <v>2172</v>
      </c>
      <c r="F6" s="699" t="s">
        <v>1169</v>
      </c>
      <c r="G6" s="699" t="s">
        <v>2173</v>
      </c>
      <c r="H6" s="700"/>
      <c r="I6" s="701">
        <v>400</v>
      </c>
      <c r="J6" s="702">
        <v>45</v>
      </c>
      <c r="K6" s="703">
        <f t="shared" ref="K6:K9" si="0">I6*J6</f>
        <v>18000</v>
      </c>
      <c r="L6" s="699" t="s">
        <v>2266</v>
      </c>
    </row>
    <row r="7" spans="1:12" s="681" customFormat="1" ht="24.95" customHeight="1" outlineLevel="3">
      <c r="A7" s="696">
        <v>1</v>
      </c>
      <c r="B7" s="696" t="s">
        <v>2171</v>
      </c>
      <c r="C7" s="696" t="s">
        <v>1354</v>
      </c>
      <c r="D7" s="697" t="s">
        <v>390</v>
      </c>
      <c r="E7" s="698" t="s">
        <v>2172</v>
      </c>
      <c r="F7" s="699" t="s">
        <v>1169</v>
      </c>
      <c r="G7" s="704" t="s">
        <v>1872</v>
      </c>
      <c r="H7" s="700"/>
      <c r="I7" s="701">
        <v>2000</v>
      </c>
      <c r="J7" s="702">
        <v>1</v>
      </c>
      <c r="K7" s="703">
        <f t="shared" si="0"/>
        <v>2000</v>
      </c>
      <c r="L7" s="699" t="s">
        <v>2266</v>
      </c>
    </row>
    <row r="8" spans="1:12" s="681" customFormat="1" ht="24.95" customHeight="1" outlineLevel="3">
      <c r="A8" s="696">
        <v>1</v>
      </c>
      <c r="B8" s="696" t="s">
        <v>2171</v>
      </c>
      <c r="C8" s="696" t="s">
        <v>1354</v>
      </c>
      <c r="D8" s="697" t="s">
        <v>390</v>
      </c>
      <c r="E8" s="698" t="s">
        <v>2172</v>
      </c>
      <c r="F8" s="699" t="s">
        <v>1169</v>
      </c>
      <c r="G8" s="704" t="s">
        <v>2174</v>
      </c>
      <c r="H8" s="705"/>
      <c r="I8" s="701">
        <v>3500</v>
      </c>
      <c r="J8" s="702">
        <v>1</v>
      </c>
      <c r="K8" s="703">
        <f t="shared" si="0"/>
        <v>3500</v>
      </c>
      <c r="L8" s="699" t="s">
        <v>2266</v>
      </c>
    </row>
    <row r="9" spans="1:12" s="681" customFormat="1" ht="24.95" customHeight="1" outlineLevel="3">
      <c r="A9" s="696">
        <v>1</v>
      </c>
      <c r="B9" s="696" t="s">
        <v>2171</v>
      </c>
      <c r="C9" s="696" t="s">
        <v>1354</v>
      </c>
      <c r="D9" s="697" t="s">
        <v>390</v>
      </c>
      <c r="E9" s="698" t="s">
        <v>2172</v>
      </c>
      <c r="F9" s="699" t="s">
        <v>1172</v>
      </c>
      <c r="G9" s="704" t="s">
        <v>2175</v>
      </c>
      <c r="H9" s="705"/>
      <c r="I9" s="701">
        <v>18000</v>
      </c>
      <c r="J9" s="702">
        <v>1</v>
      </c>
      <c r="K9" s="703">
        <f t="shared" si="0"/>
        <v>18000</v>
      </c>
      <c r="L9" s="699" t="s">
        <v>2266</v>
      </c>
    </row>
    <row r="10" spans="1:12" s="681" customFormat="1" ht="24.95" customHeight="1" outlineLevel="1">
      <c r="A10" s="688"/>
      <c r="B10" s="688"/>
      <c r="C10" s="688"/>
      <c r="D10" s="689" t="s">
        <v>2176</v>
      </c>
      <c r="E10" s="690"/>
      <c r="F10" s="691"/>
      <c r="G10" s="691"/>
      <c r="H10" s="692"/>
      <c r="I10" s="693"/>
      <c r="J10" s="694"/>
      <c r="K10" s="695">
        <f>SUBTOTAL(9,K11:K14)</f>
        <v>41500</v>
      </c>
      <c r="L10" s="691"/>
    </row>
    <row r="11" spans="1:12" s="681" customFormat="1" ht="24.95" customHeight="1" outlineLevel="3">
      <c r="A11" s="696">
        <v>2</v>
      </c>
      <c r="B11" s="696" t="s">
        <v>2171</v>
      </c>
      <c r="C11" s="696" t="s">
        <v>1354</v>
      </c>
      <c r="D11" s="697" t="s">
        <v>391</v>
      </c>
      <c r="E11" s="698" t="s">
        <v>2172</v>
      </c>
      <c r="F11" s="699" t="s">
        <v>1169</v>
      </c>
      <c r="G11" s="699" t="s">
        <v>2173</v>
      </c>
      <c r="H11" s="700"/>
      <c r="I11" s="701">
        <v>400</v>
      </c>
      <c r="J11" s="702">
        <v>45</v>
      </c>
      <c r="K11" s="703">
        <f t="shared" ref="K11:K14" si="1">I11*J11</f>
        <v>18000</v>
      </c>
      <c r="L11" s="699" t="s">
        <v>2266</v>
      </c>
    </row>
    <row r="12" spans="1:12" s="681" customFormat="1" ht="24.95" customHeight="1" outlineLevel="3">
      <c r="A12" s="696">
        <v>2</v>
      </c>
      <c r="B12" s="696" t="s">
        <v>2171</v>
      </c>
      <c r="C12" s="696" t="s">
        <v>1354</v>
      </c>
      <c r="D12" s="697" t="s">
        <v>391</v>
      </c>
      <c r="E12" s="698" t="s">
        <v>2172</v>
      </c>
      <c r="F12" s="699" t="s">
        <v>1169</v>
      </c>
      <c r="G12" s="704" t="s">
        <v>1872</v>
      </c>
      <c r="H12" s="700"/>
      <c r="I12" s="701">
        <v>2000</v>
      </c>
      <c r="J12" s="702">
        <v>1</v>
      </c>
      <c r="K12" s="703">
        <f t="shared" si="1"/>
        <v>2000</v>
      </c>
      <c r="L12" s="699" t="s">
        <v>2266</v>
      </c>
    </row>
    <row r="13" spans="1:12" s="681" customFormat="1" ht="24.95" customHeight="1" outlineLevel="3">
      <c r="A13" s="696">
        <v>2</v>
      </c>
      <c r="B13" s="696" t="s">
        <v>2171</v>
      </c>
      <c r="C13" s="696" t="s">
        <v>1354</v>
      </c>
      <c r="D13" s="697" t="s">
        <v>391</v>
      </c>
      <c r="E13" s="698" t="s">
        <v>2172</v>
      </c>
      <c r="F13" s="699" t="s">
        <v>1169</v>
      </c>
      <c r="G13" s="704" t="s">
        <v>2174</v>
      </c>
      <c r="H13" s="705"/>
      <c r="I13" s="701">
        <v>3500</v>
      </c>
      <c r="J13" s="702">
        <v>1</v>
      </c>
      <c r="K13" s="703">
        <f t="shared" si="1"/>
        <v>3500</v>
      </c>
      <c r="L13" s="699" t="s">
        <v>2266</v>
      </c>
    </row>
    <row r="14" spans="1:12" s="681" customFormat="1" ht="24.95" customHeight="1" outlineLevel="3">
      <c r="A14" s="696">
        <v>2</v>
      </c>
      <c r="B14" s="696" t="s">
        <v>2171</v>
      </c>
      <c r="C14" s="696" t="s">
        <v>1354</v>
      </c>
      <c r="D14" s="697" t="s">
        <v>391</v>
      </c>
      <c r="E14" s="698" t="s">
        <v>2172</v>
      </c>
      <c r="F14" s="699" t="s">
        <v>1172</v>
      </c>
      <c r="G14" s="704" t="s">
        <v>2175</v>
      </c>
      <c r="H14" s="705"/>
      <c r="I14" s="701">
        <v>18000</v>
      </c>
      <c r="J14" s="702">
        <v>1</v>
      </c>
      <c r="K14" s="703">
        <f t="shared" si="1"/>
        <v>18000</v>
      </c>
      <c r="L14" s="699" t="s">
        <v>2266</v>
      </c>
    </row>
    <row r="15" spans="1:12" s="681" customFormat="1" ht="24.95" customHeight="1" outlineLevel="1">
      <c r="A15" s="688"/>
      <c r="B15" s="688"/>
      <c r="C15" s="688"/>
      <c r="D15" s="689" t="s">
        <v>2177</v>
      </c>
      <c r="E15" s="690"/>
      <c r="F15" s="706"/>
      <c r="G15" s="707"/>
      <c r="H15" s="692"/>
      <c r="I15" s="708"/>
      <c r="J15" s="709"/>
      <c r="K15" s="695">
        <f>SUBTOTAL(9,K16:K27)</f>
        <v>139000</v>
      </c>
      <c r="L15" s="691"/>
    </row>
    <row r="16" spans="1:12" s="681" customFormat="1" ht="24.95" customHeight="1" outlineLevel="3">
      <c r="A16" s="696">
        <v>3</v>
      </c>
      <c r="B16" s="696" t="s">
        <v>2171</v>
      </c>
      <c r="C16" s="696" t="s">
        <v>382</v>
      </c>
      <c r="D16" s="697" t="s">
        <v>395</v>
      </c>
      <c r="E16" s="698" t="s">
        <v>2172</v>
      </c>
      <c r="F16" s="710" t="s">
        <v>1169</v>
      </c>
      <c r="G16" s="705" t="s">
        <v>2178</v>
      </c>
      <c r="H16" s="700" t="s">
        <v>2179</v>
      </c>
      <c r="I16" s="711">
        <v>650</v>
      </c>
      <c r="J16" s="712">
        <v>10</v>
      </c>
      <c r="K16" s="703">
        <f t="shared" ref="K16:K27" si="2">I16*J16</f>
        <v>6500</v>
      </c>
      <c r="L16" s="699" t="s">
        <v>2266</v>
      </c>
    </row>
    <row r="17" spans="1:12" s="681" customFormat="1" ht="24.95" customHeight="1" outlineLevel="3">
      <c r="A17" s="696">
        <v>3</v>
      </c>
      <c r="B17" s="696" t="s">
        <v>2171</v>
      </c>
      <c r="C17" s="696" t="s">
        <v>382</v>
      </c>
      <c r="D17" s="697" t="s">
        <v>395</v>
      </c>
      <c r="E17" s="698" t="s">
        <v>2172</v>
      </c>
      <c r="F17" s="710" t="s">
        <v>1169</v>
      </c>
      <c r="G17" s="705" t="s">
        <v>2180</v>
      </c>
      <c r="H17" s="700" t="s">
        <v>2179</v>
      </c>
      <c r="I17" s="711">
        <v>650</v>
      </c>
      <c r="J17" s="712">
        <v>10</v>
      </c>
      <c r="K17" s="703">
        <f t="shared" si="2"/>
        <v>6500</v>
      </c>
      <c r="L17" s="699" t="s">
        <v>2266</v>
      </c>
    </row>
    <row r="18" spans="1:12" s="681" customFormat="1" ht="24.95" customHeight="1" outlineLevel="3">
      <c r="A18" s="696">
        <v>3</v>
      </c>
      <c r="B18" s="696" t="s">
        <v>2171</v>
      </c>
      <c r="C18" s="696" t="s">
        <v>382</v>
      </c>
      <c r="D18" s="697" t="s">
        <v>395</v>
      </c>
      <c r="E18" s="698" t="s">
        <v>2172</v>
      </c>
      <c r="F18" s="710" t="s">
        <v>1169</v>
      </c>
      <c r="G18" s="705" t="s">
        <v>2181</v>
      </c>
      <c r="H18" s="705" t="s">
        <v>2182</v>
      </c>
      <c r="I18" s="713">
        <v>2400</v>
      </c>
      <c r="J18" s="712">
        <v>2</v>
      </c>
      <c r="K18" s="703">
        <f t="shared" si="2"/>
        <v>4800</v>
      </c>
      <c r="L18" s="699" t="s">
        <v>2266</v>
      </c>
    </row>
    <row r="19" spans="1:12" s="681" customFormat="1" ht="24.95" customHeight="1" outlineLevel="3">
      <c r="A19" s="696">
        <v>3</v>
      </c>
      <c r="B19" s="696" t="s">
        <v>2171</v>
      </c>
      <c r="C19" s="696" t="s">
        <v>382</v>
      </c>
      <c r="D19" s="697" t="s">
        <v>395</v>
      </c>
      <c r="E19" s="698" t="s">
        <v>2172</v>
      </c>
      <c r="F19" s="710" t="s">
        <v>1169</v>
      </c>
      <c r="G19" s="705" t="s">
        <v>2183</v>
      </c>
      <c r="H19" s="705" t="s">
        <v>2184</v>
      </c>
      <c r="I19" s="711">
        <v>700</v>
      </c>
      <c r="J19" s="712">
        <v>2</v>
      </c>
      <c r="K19" s="703">
        <f t="shared" si="2"/>
        <v>1400</v>
      </c>
      <c r="L19" s="699" t="s">
        <v>2266</v>
      </c>
    </row>
    <row r="20" spans="1:12" s="681" customFormat="1" ht="24.95" customHeight="1" outlineLevel="3">
      <c r="A20" s="696">
        <v>3</v>
      </c>
      <c r="B20" s="696" t="s">
        <v>2171</v>
      </c>
      <c r="C20" s="696" t="s">
        <v>382</v>
      </c>
      <c r="D20" s="697" t="s">
        <v>395</v>
      </c>
      <c r="E20" s="698" t="s">
        <v>2172</v>
      </c>
      <c r="F20" s="710" t="s">
        <v>1169</v>
      </c>
      <c r="G20" s="705" t="s">
        <v>2185</v>
      </c>
      <c r="H20" s="705" t="s">
        <v>2186</v>
      </c>
      <c r="I20" s="711">
        <v>6000</v>
      </c>
      <c r="J20" s="712">
        <v>2</v>
      </c>
      <c r="K20" s="703">
        <f t="shared" si="2"/>
        <v>12000</v>
      </c>
      <c r="L20" s="699" t="s">
        <v>2266</v>
      </c>
    </row>
    <row r="21" spans="1:12" s="681" customFormat="1" ht="24.95" customHeight="1" outlineLevel="3">
      <c r="A21" s="696">
        <v>3</v>
      </c>
      <c r="B21" s="696" t="s">
        <v>2171</v>
      </c>
      <c r="C21" s="696" t="s">
        <v>382</v>
      </c>
      <c r="D21" s="697" t="s">
        <v>395</v>
      </c>
      <c r="E21" s="698" t="s">
        <v>2172</v>
      </c>
      <c r="F21" s="710" t="s">
        <v>1175</v>
      </c>
      <c r="G21" s="705" t="s">
        <v>1175</v>
      </c>
      <c r="H21" s="705" t="s">
        <v>2187</v>
      </c>
      <c r="I21" s="711">
        <v>13000</v>
      </c>
      <c r="J21" s="712">
        <v>2</v>
      </c>
      <c r="K21" s="703">
        <f t="shared" si="2"/>
        <v>26000</v>
      </c>
      <c r="L21" s="699" t="s">
        <v>2266</v>
      </c>
    </row>
    <row r="22" spans="1:12" s="681" customFormat="1" ht="24.95" customHeight="1" outlineLevel="3">
      <c r="A22" s="696">
        <v>3</v>
      </c>
      <c r="B22" s="696" t="s">
        <v>2171</v>
      </c>
      <c r="C22" s="696" t="s">
        <v>382</v>
      </c>
      <c r="D22" s="697" t="s">
        <v>395</v>
      </c>
      <c r="E22" s="698" t="s">
        <v>2172</v>
      </c>
      <c r="F22" s="710" t="s">
        <v>2188</v>
      </c>
      <c r="G22" s="705" t="s">
        <v>2188</v>
      </c>
      <c r="H22" s="714" t="s">
        <v>2189</v>
      </c>
      <c r="I22" s="713">
        <v>9000</v>
      </c>
      <c r="J22" s="712">
        <v>2</v>
      </c>
      <c r="K22" s="703">
        <f t="shared" si="2"/>
        <v>18000</v>
      </c>
      <c r="L22" s="699" t="s">
        <v>2266</v>
      </c>
    </row>
    <row r="23" spans="1:12" s="681" customFormat="1" ht="24.95" customHeight="1" outlineLevel="3">
      <c r="A23" s="696">
        <v>3</v>
      </c>
      <c r="B23" s="696" t="s">
        <v>2171</v>
      </c>
      <c r="C23" s="696" t="s">
        <v>382</v>
      </c>
      <c r="D23" s="697" t="s">
        <v>395</v>
      </c>
      <c r="E23" s="698" t="s">
        <v>2172</v>
      </c>
      <c r="F23" s="705" t="s">
        <v>2190</v>
      </c>
      <c r="G23" s="705" t="s">
        <v>2191</v>
      </c>
      <c r="H23" s="705"/>
      <c r="I23" s="711">
        <v>7300</v>
      </c>
      <c r="J23" s="712">
        <v>2</v>
      </c>
      <c r="K23" s="703">
        <f t="shared" si="2"/>
        <v>14600</v>
      </c>
      <c r="L23" s="699" t="s">
        <v>2266</v>
      </c>
    </row>
    <row r="24" spans="1:12" s="681" customFormat="1" ht="24.95" customHeight="1" outlineLevel="3">
      <c r="A24" s="696">
        <v>3</v>
      </c>
      <c r="B24" s="696" t="s">
        <v>2171</v>
      </c>
      <c r="C24" s="696" t="s">
        <v>382</v>
      </c>
      <c r="D24" s="697" t="s">
        <v>395</v>
      </c>
      <c r="E24" s="698" t="s">
        <v>2172</v>
      </c>
      <c r="F24" s="705" t="s">
        <v>2190</v>
      </c>
      <c r="G24" s="705" t="s">
        <v>2192</v>
      </c>
      <c r="H24" s="705"/>
      <c r="I24" s="711">
        <v>12000</v>
      </c>
      <c r="J24" s="712">
        <v>2</v>
      </c>
      <c r="K24" s="703">
        <f t="shared" si="2"/>
        <v>24000</v>
      </c>
      <c r="L24" s="699" t="s">
        <v>2266</v>
      </c>
    </row>
    <row r="25" spans="1:12" s="681" customFormat="1" ht="24.95" customHeight="1" outlineLevel="3">
      <c r="A25" s="696">
        <v>3</v>
      </c>
      <c r="B25" s="696" t="s">
        <v>2171</v>
      </c>
      <c r="C25" s="696" t="s">
        <v>382</v>
      </c>
      <c r="D25" s="697" t="s">
        <v>395</v>
      </c>
      <c r="E25" s="698" t="s">
        <v>2172</v>
      </c>
      <c r="F25" s="715" t="s">
        <v>1172</v>
      </c>
      <c r="G25" s="705" t="s">
        <v>2193</v>
      </c>
      <c r="H25" s="705"/>
      <c r="I25" s="713">
        <v>10000</v>
      </c>
      <c r="J25" s="712">
        <v>2</v>
      </c>
      <c r="K25" s="703">
        <f t="shared" si="2"/>
        <v>20000</v>
      </c>
      <c r="L25" s="699" t="s">
        <v>2266</v>
      </c>
    </row>
    <row r="26" spans="1:12" s="681" customFormat="1" ht="24.95" customHeight="1" outlineLevel="3">
      <c r="A26" s="696">
        <v>3</v>
      </c>
      <c r="B26" s="696" t="s">
        <v>2171</v>
      </c>
      <c r="C26" s="696" t="s">
        <v>382</v>
      </c>
      <c r="D26" s="697" t="s">
        <v>395</v>
      </c>
      <c r="E26" s="698" t="s">
        <v>2172</v>
      </c>
      <c r="F26" s="705" t="s">
        <v>2194</v>
      </c>
      <c r="G26" s="705" t="s">
        <v>2194</v>
      </c>
      <c r="H26" s="705"/>
      <c r="I26" s="713">
        <v>1200</v>
      </c>
      <c r="J26" s="712">
        <v>2</v>
      </c>
      <c r="K26" s="703">
        <f t="shared" si="2"/>
        <v>2400</v>
      </c>
      <c r="L26" s="699" t="s">
        <v>2266</v>
      </c>
    </row>
    <row r="27" spans="1:12" s="681" customFormat="1" ht="24.95" customHeight="1" outlineLevel="3">
      <c r="A27" s="696">
        <v>3</v>
      </c>
      <c r="B27" s="696" t="s">
        <v>2171</v>
      </c>
      <c r="C27" s="696" t="s">
        <v>382</v>
      </c>
      <c r="D27" s="697" t="s">
        <v>395</v>
      </c>
      <c r="E27" s="698" t="s">
        <v>2172</v>
      </c>
      <c r="F27" s="705" t="s">
        <v>2195</v>
      </c>
      <c r="G27" s="705" t="s">
        <v>2195</v>
      </c>
      <c r="H27" s="705"/>
      <c r="I27" s="713">
        <v>1400</v>
      </c>
      <c r="J27" s="712">
        <v>2</v>
      </c>
      <c r="K27" s="703">
        <f t="shared" si="2"/>
        <v>2800</v>
      </c>
      <c r="L27" s="699" t="s">
        <v>2266</v>
      </c>
    </row>
    <row r="28" spans="1:12" s="681" customFormat="1" ht="24.95" customHeight="1" outlineLevel="1">
      <c r="A28" s="694"/>
      <c r="B28" s="694" t="s">
        <v>740</v>
      </c>
      <c r="C28" s="694"/>
      <c r="D28" s="691"/>
      <c r="E28" s="690"/>
      <c r="F28" s="691"/>
      <c r="G28" s="691"/>
      <c r="H28" s="694"/>
      <c r="I28" s="693"/>
      <c r="J28" s="694"/>
      <c r="K28" s="695">
        <f>SUBTOTAL(9,K30:K115)</f>
        <v>2473400</v>
      </c>
      <c r="L28" s="694"/>
    </row>
    <row r="29" spans="1:12" s="681" customFormat="1" ht="24.95" customHeight="1" outlineLevel="1">
      <c r="A29" s="694"/>
      <c r="B29" s="694"/>
      <c r="C29" s="694"/>
      <c r="D29" s="691" t="s">
        <v>2196</v>
      </c>
      <c r="E29" s="690"/>
      <c r="F29" s="691"/>
      <c r="G29" s="691"/>
      <c r="H29" s="694"/>
      <c r="I29" s="693"/>
      <c r="J29" s="694"/>
      <c r="K29" s="695">
        <f>SUBTOTAL(9,K30:K37)</f>
        <v>1210200</v>
      </c>
      <c r="L29" s="694"/>
    </row>
    <row r="30" spans="1:12" s="681" customFormat="1" ht="24.95" customHeight="1" outlineLevel="3">
      <c r="A30" s="702">
        <v>1</v>
      </c>
      <c r="B30" s="702" t="s">
        <v>2197</v>
      </c>
      <c r="C30" s="702" t="s">
        <v>1354</v>
      </c>
      <c r="D30" s="699" t="s">
        <v>643</v>
      </c>
      <c r="E30" s="698" t="s">
        <v>2172</v>
      </c>
      <c r="F30" s="699" t="s">
        <v>1169</v>
      </c>
      <c r="G30" s="699" t="s">
        <v>2173</v>
      </c>
      <c r="H30" s="702"/>
      <c r="I30" s="701">
        <v>400</v>
      </c>
      <c r="J30" s="702">
        <v>675</v>
      </c>
      <c r="K30" s="703">
        <f t="shared" ref="K30:K37" si="3">I30*J30</f>
        <v>270000</v>
      </c>
      <c r="L30" s="702"/>
    </row>
    <row r="31" spans="1:12" s="681" customFormat="1" ht="24.95" customHeight="1" outlineLevel="3">
      <c r="A31" s="702">
        <v>1</v>
      </c>
      <c r="B31" s="702" t="s">
        <v>2197</v>
      </c>
      <c r="C31" s="702" t="s">
        <v>1354</v>
      </c>
      <c r="D31" s="699" t="s">
        <v>643</v>
      </c>
      <c r="E31" s="698" t="s">
        <v>2172</v>
      </c>
      <c r="F31" s="699" t="s">
        <v>1169</v>
      </c>
      <c r="G31" s="704" t="s">
        <v>1872</v>
      </c>
      <c r="H31" s="702"/>
      <c r="I31" s="701">
        <v>2000</v>
      </c>
      <c r="J31" s="702">
        <v>15</v>
      </c>
      <c r="K31" s="703">
        <f t="shared" si="3"/>
        <v>30000</v>
      </c>
      <c r="L31" s="702"/>
    </row>
    <row r="32" spans="1:12" s="681" customFormat="1" ht="24.95" customHeight="1" outlineLevel="3">
      <c r="A32" s="702">
        <v>1</v>
      </c>
      <c r="B32" s="702" t="s">
        <v>2197</v>
      </c>
      <c r="C32" s="702" t="s">
        <v>1354</v>
      </c>
      <c r="D32" s="699" t="s">
        <v>643</v>
      </c>
      <c r="E32" s="698" t="s">
        <v>2172</v>
      </c>
      <c r="F32" s="699" t="s">
        <v>1169</v>
      </c>
      <c r="G32" s="704" t="s">
        <v>2174</v>
      </c>
      <c r="H32" s="702"/>
      <c r="I32" s="701">
        <v>3500</v>
      </c>
      <c r="J32" s="702">
        <v>15</v>
      </c>
      <c r="K32" s="703">
        <f t="shared" si="3"/>
        <v>52500</v>
      </c>
      <c r="L32" s="702"/>
    </row>
    <row r="33" spans="1:12" s="681" customFormat="1" ht="24.95" customHeight="1" outlineLevel="3">
      <c r="A33" s="702">
        <v>1</v>
      </c>
      <c r="B33" s="702" t="s">
        <v>2197</v>
      </c>
      <c r="C33" s="702" t="s">
        <v>1354</v>
      </c>
      <c r="D33" s="699" t="s">
        <v>643</v>
      </c>
      <c r="E33" s="698" t="s">
        <v>2172</v>
      </c>
      <c r="F33" s="699" t="s">
        <v>1169</v>
      </c>
      <c r="G33" s="704" t="s">
        <v>2198</v>
      </c>
      <c r="H33" s="702"/>
      <c r="I33" s="701">
        <v>1600</v>
      </c>
      <c r="J33" s="702">
        <v>53</v>
      </c>
      <c r="K33" s="703">
        <f t="shared" si="3"/>
        <v>84800</v>
      </c>
      <c r="L33" s="702"/>
    </row>
    <row r="34" spans="1:12" s="681" customFormat="1" ht="24.95" customHeight="1" outlineLevel="3">
      <c r="A34" s="702">
        <v>1</v>
      </c>
      <c r="B34" s="702" t="s">
        <v>2197</v>
      </c>
      <c r="C34" s="702" t="s">
        <v>1354</v>
      </c>
      <c r="D34" s="699" t="s">
        <v>643</v>
      </c>
      <c r="E34" s="698" t="s">
        <v>2172</v>
      </c>
      <c r="F34" s="699" t="s">
        <v>1169</v>
      </c>
      <c r="G34" s="704" t="s">
        <v>2199</v>
      </c>
      <c r="H34" s="702"/>
      <c r="I34" s="701">
        <v>700</v>
      </c>
      <c r="J34" s="702">
        <v>27</v>
      </c>
      <c r="K34" s="703">
        <f t="shared" si="3"/>
        <v>18900</v>
      </c>
      <c r="L34" s="702"/>
    </row>
    <row r="35" spans="1:12" s="681" customFormat="1" ht="24.95" customHeight="1" outlineLevel="3">
      <c r="A35" s="702">
        <v>1</v>
      </c>
      <c r="B35" s="702" t="s">
        <v>2197</v>
      </c>
      <c r="C35" s="702" t="s">
        <v>1354</v>
      </c>
      <c r="D35" s="699" t="s">
        <v>643</v>
      </c>
      <c r="E35" s="698" t="s">
        <v>2172</v>
      </c>
      <c r="F35" s="699" t="s">
        <v>1172</v>
      </c>
      <c r="G35" s="704" t="s">
        <v>2175</v>
      </c>
      <c r="H35" s="702"/>
      <c r="I35" s="701">
        <v>18000</v>
      </c>
      <c r="J35" s="702">
        <v>15</v>
      </c>
      <c r="K35" s="703">
        <f t="shared" si="3"/>
        <v>270000</v>
      </c>
      <c r="L35" s="702"/>
    </row>
    <row r="36" spans="1:12" s="681" customFormat="1" ht="24.95" customHeight="1" outlineLevel="3">
      <c r="A36" s="702">
        <v>1</v>
      </c>
      <c r="B36" s="702" t="s">
        <v>2197</v>
      </c>
      <c r="C36" s="702" t="s">
        <v>1354</v>
      </c>
      <c r="D36" s="699" t="s">
        <v>643</v>
      </c>
      <c r="E36" s="698" t="s">
        <v>2172</v>
      </c>
      <c r="F36" s="710" t="s">
        <v>2200</v>
      </c>
      <c r="G36" s="704" t="s">
        <v>2201</v>
      </c>
      <c r="H36" s="702"/>
      <c r="I36" s="701">
        <v>5000</v>
      </c>
      <c r="J36" s="702">
        <v>53</v>
      </c>
      <c r="K36" s="703">
        <f t="shared" si="3"/>
        <v>265000</v>
      </c>
      <c r="L36" s="702"/>
    </row>
    <row r="37" spans="1:12" s="681" customFormat="1" ht="24.95" customHeight="1" outlineLevel="3">
      <c r="A37" s="702">
        <v>1</v>
      </c>
      <c r="B37" s="702" t="s">
        <v>2197</v>
      </c>
      <c r="C37" s="702" t="s">
        <v>1354</v>
      </c>
      <c r="D37" s="699" t="s">
        <v>643</v>
      </c>
      <c r="E37" s="698" t="s">
        <v>2202</v>
      </c>
      <c r="F37" s="699" t="s">
        <v>2190</v>
      </c>
      <c r="G37" s="704" t="s">
        <v>2203</v>
      </c>
      <c r="H37" s="702"/>
      <c r="I37" s="701">
        <v>7300</v>
      </c>
      <c r="J37" s="702">
        <v>30</v>
      </c>
      <c r="K37" s="701">
        <f t="shared" si="3"/>
        <v>219000</v>
      </c>
      <c r="L37" s="699"/>
    </row>
    <row r="38" spans="1:12" s="681" customFormat="1" ht="24.95" customHeight="1" outlineLevel="1">
      <c r="A38" s="694"/>
      <c r="B38" s="694"/>
      <c r="C38" s="694"/>
      <c r="D38" s="691" t="s">
        <v>2204</v>
      </c>
      <c r="E38" s="690"/>
      <c r="F38" s="691"/>
      <c r="G38" s="691"/>
      <c r="H38" s="694"/>
      <c r="I38" s="693"/>
      <c r="J38" s="694"/>
      <c r="K38" s="695">
        <f>SUBTOTAL(9,K39:K42)</f>
        <v>41500</v>
      </c>
      <c r="L38" s="694"/>
    </row>
    <row r="39" spans="1:12" s="681" customFormat="1" ht="24.95" customHeight="1" outlineLevel="3">
      <c r="A39" s="702">
        <v>2</v>
      </c>
      <c r="B39" s="702" t="s">
        <v>2197</v>
      </c>
      <c r="C39" s="702" t="s">
        <v>374</v>
      </c>
      <c r="D39" s="699" t="s">
        <v>442</v>
      </c>
      <c r="E39" s="698" t="s">
        <v>2172</v>
      </c>
      <c r="F39" s="699" t="s">
        <v>1169</v>
      </c>
      <c r="G39" s="699" t="s">
        <v>2173</v>
      </c>
      <c r="H39" s="702"/>
      <c r="I39" s="701">
        <v>400</v>
      </c>
      <c r="J39" s="702">
        <v>45</v>
      </c>
      <c r="K39" s="703">
        <f t="shared" ref="K39:K42" si="4">I39*J39</f>
        <v>18000</v>
      </c>
      <c r="L39" s="702"/>
    </row>
    <row r="40" spans="1:12" s="681" customFormat="1" ht="24.95" customHeight="1" outlineLevel="3">
      <c r="A40" s="702">
        <v>2</v>
      </c>
      <c r="B40" s="702" t="s">
        <v>2197</v>
      </c>
      <c r="C40" s="702" t="s">
        <v>374</v>
      </c>
      <c r="D40" s="699" t="s">
        <v>442</v>
      </c>
      <c r="E40" s="698" t="s">
        <v>2172</v>
      </c>
      <c r="F40" s="699" t="s">
        <v>1169</v>
      </c>
      <c r="G40" s="704" t="s">
        <v>1872</v>
      </c>
      <c r="H40" s="702"/>
      <c r="I40" s="701">
        <v>2000</v>
      </c>
      <c r="J40" s="702">
        <v>1</v>
      </c>
      <c r="K40" s="703">
        <f t="shared" si="4"/>
        <v>2000</v>
      </c>
      <c r="L40" s="702"/>
    </row>
    <row r="41" spans="1:12" s="681" customFormat="1" ht="24.95" customHeight="1" outlineLevel="3">
      <c r="A41" s="702">
        <v>2</v>
      </c>
      <c r="B41" s="702" t="s">
        <v>2197</v>
      </c>
      <c r="C41" s="702" t="s">
        <v>374</v>
      </c>
      <c r="D41" s="699" t="s">
        <v>442</v>
      </c>
      <c r="E41" s="698" t="s">
        <v>2172</v>
      </c>
      <c r="F41" s="699" t="s">
        <v>1169</v>
      </c>
      <c r="G41" s="704" t="s">
        <v>2174</v>
      </c>
      <c r="H41" s="702"/>
      <c r="I41" s="701">
        <v>3500</v>
      </c>
      <c r="J41" s="702">
        <v>1</v>
      </c>
      <c r="K41" s="703">
        <f t="shared" si="4"/>
        <v>3500</v>
      </c>
      <c r="L41" s="702"/>
    </row>
    <row r="42" spans="1:12" s="681" customFormat="1" ht="24.95" customHeight="1" outlineLevel="3">
      <c r="A42" s="702">
        <v>2</v>
      </c>
      <c r="B42" s="702" t="s">
        <v>2197</v>
      </c>
      <c r="C42" s="702" t="s">
        <v>374</v>
      </c>
      <c r="D42" s="699" t="s">
        <v>442</v>
      </c>
      <c r="E42" s="698" t="s">
        <v>2172</v>
      </c>
      <c r="F42" s="699" t="s">
        <v>1172</v>
      </c>
      <c r="G42" s="704" t="s">
        <v>2175</v>
      </c>
      <c r="H42" s="702"/>
      <c r="I42" s="701">
        <v>18000</v>
      </c>
      <c r="J42" s="702">
        <v>1</v>
      </c>
      <c r="K42" s="703">
        <f t="shared" si="4"/>
        <v>18000</v>
      </c>
      <c r="L42" s="702"/>
    </row>
    <row r="43" spans="1:12" s="681" customFormat="1" ht="24.95" customHeight="1" outlineLevel="1">
      <c r="A43" s="694"/>
      <c r="B43" s="694"/>
      <c r="C43" s="694"/>
      <c r="D43" s="691" t="s">
        <v>2205</v>
      </c>
      <c r="E43" s="690"/>
      <c r="F43" s="691"/>
      <c r="G43" s="691"/>
      <c r="H43" s="694"/>
      <c r="I43" s="693"/>
      <c r="J43" s="694"/>
      <c r="K43" s="695">
        <f>SUBTOTAL(9,K44:K48)</f>
        <v>174000</v>
      </c>
      <c r="L43" s="694"/>
    </row>
    <row r="44" spans="1:12" s="681" customFormat="1" ht="24.95" customHeight="1" outlineLevel="3">
      <c r="A44" s="702">
        <v>3</v>
      </c>
      <c r="B44" s="702" t="s">
        <v>2197</v>
      </c>
      <c r="C44" s="702" t="s">
        <v>374</v>
      </c>
      <c r="D44" s="699" t="s">
        <v>441</v>
      </c>
      <c r="E44" s="698" t="s">
        <v>2172</v>
      </c>
      <c r="F44" s="699" t="s">
        <v>1169</v>
      </c>
      <c r="G44" s="699" t="s">
        <v>2173</v>
      </c>
      <c r="H44" s="702"/>
      <c r="I44" s="701">
        <v>400</v>
      </c>
      <c r="J44" s="702">
        <v>180</v>
      </c>
      <c r="K44" s="703">
        <f t="shared" ref="K44:K48" si="5">I44*J44</f>
        <v>72000</v>
      </c>
      <c r="L44" s="702"/>
    </row>
    <row r="45" spans="1:12" s="681" customFormat="1" ht="24.95" customHeight="1" outlineLevel="3">
      <c r="A45" s="702">
        <v>3</v>
      </c>
      <c r="B45" s="702" t="s">
        <v>2197</v>
      </c>
      <c r="C45" s="702" t="s">
        <v>374</v>
      </c>
      <c r="D45" s="699" t="s">
        <v>441</v>
      </c>
      <c r="E45" s="698" t="s">
        <v>2172</v>
      </c>
      <c r="F45" s="699" t="s">
        <v>1169</v>
      </c>
      <c r="G45" s="704" t="s">
        <v>1872</v>
      </c>
      <c r="H45" s="702"/>
      <c r="I45" s="701">
        <v>2000</v>
      </c>
      <c r="J45" s="702">
        <v>4</v>
      </c>
      <c r="K45" s="703">
        <f t="shared" si="5"/>
        <v>8000</v>
      </c>
      <c r="L45" s="702"/>
    </row>
    <row r="46" spans="1:12" s="681" customFormat="1" ht="24.95" customHeight="1" outlineLevel="3">
      <c r="A46" s="702">
        <v>3</v>
      </c>
      <c r="B46" s="702" t="s">
        <v>2197</v>
      </c>
      <c r="C46" s="702" t="s">
        <v>374</v>
      </c>
      <c r="D46" s="699" t="s">
        <v>441</v>
      </c>
      <c r="E46" s="698" t="s">
        <v>2172</v>
      </c>
      <c r="F46" s="699" t="s">
        <v>1169</v>
      </c>
      <c r="G46" s="704" t="s">
        <v>2174</v>
      </c>
      <c r="H46" s="702"/>
      <c r="I46" s="701">
        <v>3500</v>
      </c>
      <c r="J46" s="702">
        <v>4</v>
      </c>
      <c r="K46" s="703">
        <f t="shared" si="5"/>
        <v>14000</v>
      </c>
      <c r="L46" s="702"/>
    </row>
    <row r="47" spans="1:12" s="681" customFormat="1" ht="24.95" customHeight="1" outlineLevel="3">
      <c r="A47" s="702">
        <v>3</v>
      </c>
      <c r="B47" s="702" t="s">
        <v>2197</v>
      </c>
      <c r="C47" s="702" t="s">
        <v>374</v>
      </c>
      <c r="D47" s="699" t="s">
        <v>441</v>
      </c>
      <c r="E47" s="698" t="s">
        <v>2172</v>
      </c>
      <c r="F47" s="699" t="s">
        <v>1169</v>
      </c>
      <c r="G47" s="704" t="s">
        <v>2206</v>
      </c>
      <c r="H47" s="702"/>
      <c r="I47" s="701">
        <v>2000</v>
      </c>
      <c r="J47" s="702">
        <v>4</v>
      </c>
      <c r="K47" s="703">
        <f t="shared" si="5"/>
        <v>8000</v>
      </c>
      <c r="L47" s="702"/>
    </row>
    <row r="48" spans="1:12" s="681" customFormat="1" ht="24.95" customHeight="1" outlineLevel="3">
      <c r="A48" s="702">
        <v>3</v>
      </c>
      <c r="B48" s="702" t="s">
        <v>2197</v>
      </c>
      <c r="C48" s="702" t="s">
        <v>374</v>
      </c>
      <c r="D48" s="699" t="s">
        <v>441</v>
      </c>
      <c r="E48" s="698" t="s">
        <v>2172</v>
      </c>
      <c r="F48" s="699" t="s">
        <v>1172</v>
      </c>
      <c r="G48" s="704" t="s">
        <v>2207</v>
      </c>
      <c r="H48" s="702"/>
      <c r="I48" s="701">
        <v>18000</v>
      </c>
      <c r="J48" s="702">
        <v>4</v>
      </c>
      <c r="K48" s="703">
        <f t="shared" si="5"/>
        <v>72000</v>
      </c>
      <c r="L48" s="702"/>
    </row>
    <row r="49" spans="1:12" s="681" customFormat="1" ht="24.95" customHeight="1" outlineLevel="1">
      <c r="A49" s="694"/>
      <c r="B49" s="694"/>
      <c r="C49" s="694"/>
      <c r="D49" s="691" t="s">
        <v>2208</v>
      </c>
      <c r="E49" s="690"/>
      <c r="F49" s="691"/>
      <c r="G49" s="691"/>
      <c r="H49" s="694"/>
      <c r="I49" s="693"/>
      <c r="J49" s="694"/>
      <c r="K49" s="695">
        <f>SUBTOTAL(9,K50:K52)</f>
        <v>38000</v>
      </c>
      <c r="L49" s="694"/>
    </row>
    <row r="50" spans="1:12" s="681" customFormat="1" ht="24.95" customHeight="1" outlineLevel="3">
      <c r="A50" s="702">
        <v>4</v>
      </c>
      <c r="B50" s="702" t="s">
        <v>2197</v>
      </c>
      <c r="C50" s="702" t="s">
        <v>374</v>
      </c>
      <c r="D50" s="699" t="s">
        <v>438</v>
      </c>
      <c r="E50" s="698" t="s">
        <v>2172</v>
      </c>
      <c r="F50" s="699" t="s">
        <v>1169</v>
      </c>
      <c r="G50" s="699" t="s">
        <v>2173</v>
      </c>
      <c r="H50" s="702"/>
      <c r="I50" s="701">
        <v>400</v>
      </c>
      <c r="J50" s="702">
        <v>45</v>
      </c>
      <c r="K50" s="703">
        <f>I50*J50</f>
        <v>18000</v>
      </c>
      <c r="L50" s="702"/>
    </row>
    <row r="51" spans="1:12" s="681" customFormat="1" ht="24.95" customHeight="1" outlineLevel="3">
      <c r="A51" s="702">
        <v>4</v>
      </c>
      <c r="B51" s="702" t="s">
        <v>2197</v>
      </c>
      <c r="C51" s="702" t="s">
        <v>374</v>
      </c>
      <c r="D51" s="699" t="s">
        <v>438</v>
      </c>
      <c r="E51" s="698" t="s">
        <v>2172</v>
      </c>
      <c r="F51" s="699" t="s">
        <v>1169</v>
      </c>
      <c r="G51" s="704" t="s">
        <v>1872</v>
      </c>
      <c r="H51" s="702"/>
      <c r="I51" s="701">
        <v>2000</v>
      </c>
      <c r="J51" s="702">
        <v>1</v>
      </c>
      <c r="K51" s="703">
        <f>I51*J51</f>
        <v>2000</v>
      </c>
      <c r="L51" s="702"/>
    </row>
    <row r="52" spans="1:12" s="681" customFormat="1" ht="24.95" customHeight="1" outlineLevel="3">
      <c r="A52" s="702">
        <v>4</v>
      </c>
      <c r="B52" s="702" t="s">
        <v>2197</v>
      </c>
      <c r="C52" s="702" t="s">
        <v>374</v>
      </c>
      <c r="D52" s="699" t="s">
        <v>438</v>
      </c>
      <c r="E52" s="698" t="s">
        <v>2172</v>
      </c>
      <c r="F52" s="699" t="s">
        <v>1172</v>
      </c>
      <c r="G52" s="704" t="s">
        <v>2175</v>
      </c>
      <c r="H52" s="702"/>
      <c r="I52" s="701">
        <v>18000</v>
      </c>
      <c r="J52" s="702">
        <v>1</v>
      </c>
      <c r="K52" s="703">
        <f>I52*J52</f>
        <v>18000</v>
      </c>
      <c r="L52" s="702"/>
    </row>
    <row r="53" spans="1:12" s="681" customFormat="1" ht="24.95" customHeight="1" outlineLevel="1">
      <c r="A53" s="694"/>
      <c r="B53" s="694"/>
      <c r="C53" s="694"/>
      <c r="D53" s="691" t="s">
        <v>2209</v>
      </c>
      <c r="E53" s="690"/>
      <c r="F53" s="691"/>
      <c r="G53" s="691"/>
      <c r="H53" s="694"/>
      <c r="I53" s="693"/>
      <c r="J53" s="694"/>
      <c r="K53" s="695">
        <f>SUBTOTAL(9,K54:K58)</f>
        <v>75000</v>
      </c>
      <c r="L53" s="694"/>
    </row>
    <row r="54" spans="1:12" s="681" customFormat="1" ht="24.95" customHeight="1" outlineLevel="3">
      <c r="A54" s="702">
        <v>5</v>
      </c>
      <c r="B54" s="702" t="s">
        <v>2197</v>
      </c>
      <c r="C54" s="702" t="s">
        <v>379</v>
      </c>
      <c r="D54" s="699" t="s">
        <v>2210</v>
      </c>
      <c r="E54" s="698" t="s">
        <v>2172</v>
      </c>
      <c r="F54" s="699" t="s">
        <v>1169</v>
      </c>
      <c r="G54" s="699" t="s">
        <v>2173</v>
      </c>
      <c r="H54" s="702"/>
      <c r="I54" s="701">
        <v>400</v>
      </c>
      <c r="J54" s="702">
        <v>90</v>
      </c>
      <c r="K54" s="703">
        <f t="shared" ref="K54:K58" si="6">I54*J54</f>
        <v>36000</v>
      </c>
      <c r="L54" s="702"/>
    </row>
    <row r="55" spans="1:12" s="681" customFormat="1" ht="24.95" customHeight="1" outlineLevel="3">
      <c r="A55" s="702">
        <v>5</v>
      </c>
      <c r="B55" s="702" t="s">
        <v>2197</v>
      </c>
      <c r="C55" s="702" t="s">
        <v>379</v>
      </c>
      <c r="D55" s="699" t="s">
        <v>2210</v>
      </c>
      <c r="E55" s="698" t="s">
        <v>2172</v>
      </c>
      <c r="F55" s="699" t="s">
        <v>1169</v>
      </c>
      <c r="G55" s="704" t="s">
        <v>1872</v>
      </c>
      <c r="H55" s="702"/>
      <c r="I55" s="701">
        <v>2000</v>
      </c>
      <c r="J55" s="702">
        <v>2</v>
      </c>
      <c r="K55" s="703">
        <f t="shared" si="6"/>
        <v>4000</v>
      </c>
      <c r="L55" s="702"/>
    </row>
    <row r="56" spans="1:12" s="681" customFormat="1" ht="24.95" customHeight="1" outlineLevel="3">
      <c r="A56" s="702">
        <v>5</v>
      </c>
      <c r="B56" s="702" t="s">
        <v>2197</v>
      </c>
      <c r="C56" s="702" t="s">
        <v>379</v>
      </c>
      <c r="D56" s="699" t="s">
        <v>2210</v>
      </c>
      <c r="E56" s="698" t="s">
        <v>2172</v>
      </c>
      <c r="F56" s="699" t="s">
        <v>1169</v>
      </c>
      <c r="G56" s="704" t="s">
        <v>2174</v>
      </c>
      <c r="H56" s="702"/>
      <c r="I56" s="701">
        <v>3500</v>
      </c>
      <c r="J56" s="702">
        <v>2</v>
      </c>
      <c r="K56" s="703">
        <f t="shared" si="6"/>
        <v>7000</v>
      </c>
      <c r="L56" s="702"/>
    </row>
    <row r="57" spans="1:12" s="681" customFormat="1" ht="24.95" customHeight="1" outlineLevel="3">
      <c r="A57" s="702">
        <v>5</v>
      </c>
      <c r="B57" s="702" t="s">
        <v>2197</v>
      </c>
      <c r="C57" s="702" t="s">
        <v>379</v>
      </c>
      <c r="D57" s="699" t="s">
        <v>2210</v>
      </c>
      <c r="E57" s="698" t="s">
        <v>2172</v>
      </c>
      <c r="F57" s="699" t="s">
        <v>1169</v>
      </c>
      <c r="G57" s="704" t="s">
        <v>2206</v>
      </c>
      <c r="H57" s="702"/>
      <c r="I57" s="701">
        <v>2000</v>
      </c>
      <c r="J57" s="702">
        <v>2</v>
      </c>
      <c r="K57" s="703">
        <f t="shared" si="6"/>
        <v>4000</v>
      </c>
      <c r="L57" s="702"/>
    </row>
    <row r="58" spans="1:12" s="681" customFormat="1" ht="24.95" customHeight="1" outlineLevel="3">
      <c r="A58" s="702">
        <v>5</v>
      </c>
      <c r="B58" s="702" t="s">
        <v>2197</v>
      </c>
      <c r="C58" s="702" t="s">
        <v>379</v>
      </c>
      <c r="D58" s="699" t="s">
        <v>2210</v>
      </c>
      <c r="E58" s="698" t="s">
        <v>2172</v>
      </c>
      <c r="F58" s="699" t="s">
        <v>1172</v>
      </c>
      <c r="G58" s="704" t="s">
        <v>2211</v>
      </c>
      <c r="H58" s="702"/>
      <c r="I58" s="701">
        <v>12000</v>
      </c>
      <c r="J58" s="702">
        <v>2</v>
      </c>
      <c r="K58" s="703">
        <f t="shared" si="6"/>
        <v>24000</v>
      </c>
      <c r="L58" s="702"/>
    </row>
    <row r="59" spans="1:12" s="681" customFormat="1" ht="24.95" customHeight="1" outlineLevel="1">
      <c r="A59" s="694"/>
      <c r="B59" s="694"/>
      <c r="C59" s="694"/>
      <c r="D59" s="691" t="s">
        <v>2212</v>
      </c>
      <c r="E59" s="690"/>
      <c r="F59" s="691"/>
      <c r="G59" s="691"/>
      <c r="H59" s="694"/>
      <c r="I59" s="693"/>
      <c r="J59" s="694"/>
      <c r="K59" s="695">
        <f>SUBTOTAL(9,K60:K67)</f>
        <v>296400</v>
      </c>
      <c r="L59" s="694"/>
    </row>
    <row r="60" spans="1:12" s="681" customFormat="1" ht="24.95" customHeight="1" outlineLevel="3">
      <c r="A60" s="702">
        <v>6</v>
      </c>
      <c r="B60" s="702" t="s">
        <v>2197</v>
      </c>
      <c r="C60" s="702" t="s">
        <v>379</v>
      </c>
      <c r="D60" s="699" t="s">
        <v>445</v>
      </c>
      <c r="E60" s="698" t="s">
        <v>2172</v>
      </c>
      <c r="F60" s="699" t="s">
        <v>1169</v>
      </c>
      <c r="G60" s="699" t="s">
        <v>2173</v>
      </c>
      <c r="H60" s="702"/>
      <c r="I60" s="701">
        <v>400</v>
      </c>
      <c r="J60" s="702">
        <v>240</v>
      </c>
      <c r="K60" s="703">
        <f t="shared" ref="K60:K67" si="7">I60*J60</f>
        <v>96000</v>
      </c>
      <c r="L60" s="702"/>
    </row>
    <row r="61" spans="1:12" s="681" customFormat="1" ht="24.95" customHeight="1" outlineLevel="3">
      <c r="A61" s="702">
        <v>6</v>
      </c>
      <c r="B61" s="702" t="s">
        <v>2197</v>
      </c>
      <c r="C61" s="702" t="s">
        <v>379</v>
      </c>
      <c r="D61" s="699" t="s">
        <v>445</v>
      </c>
      <c r="E61" s="698" t="s">
        <v>2172</v>
      </c>
      <c r="F61" s="699" t="s">
        <v>1169</v>
      </c>
      <c r="G61" s="704" t="s">
        <v>1872</v>
      </c>
      <c r="H61" s="702"/>
      <c r="I61" s="701">
        <v>2000</v>
      </c>
      <c r="J61" s="702">
        <v>6</v>
      </c>
      <c r="K61" s="703">
        <f t="shared" si="7"/>
        <v>12000</v>
      </c>
      <c r="L61" s="702"/>
    </row>
    <row r="62" spans="1:12" s="681" customFormat="1" ht="24.95" customHeight="1" outlineLevel="3">
      <c r="A62" s="702">
        <v>6</v>
      </c>
      <c r="B62" s="702" t="s">
        <v>2197</v>
      </c>
      <c r="C62" s="702" t="s">
        <v>379</v>
      </c>
      <c r="D62" s="699" t="s">
        <v>445</v>
      </c>
      <c r="E62" s="698" t="s">
        <v>2172</v>
      </c>
      <c r="F62" s="699" t="s">
        <v>1169</v>
      </c>
      <c r="G62" s="704" t="s">
        <v>2174</v>
      </c>
      <c r="H62" s="702"/>
      <c r="I62" s="701">
        <v>3500</v>
      </c>
      <c r="J62" s="702">
        <v>6</v>
      </c>
      <c r="K62" s="703">
        <f t="shared" si="7"/>
        <v>21000</v>
      </c>
      <c r="L62" s="702"/>
    </row>
    <row r="63" spans="1:12" s="681" customFormat="1" ht="24.95" customHeight="1" outlineLevel="3">
      <c r="A63" s="702">
        <v>6</v>
      </c>
      <c r="B63" s="702" t="s">
        <v>2197</v>
      </c>
      <c r="C63" s="702" t="s">
        <v>379</v>
      </c>
      <c r="D63" s="699" t="s">
        <v>445</v>
      </c>
      <c r="E63" s="698" t="s">
        <v>2172</v>
      </c>
      <c r="F63" s="699" t="s">
        <v>1169</v>
      </c>
      <c r="G63" s="704" t="s">
        <v>2198</v>
      </c>
      <c r="H63" s="702"/>
      <c r="I63" s="701">
        <v>1600</v>
      </c>
      <c r="J63" s="702">
        <v>12</v>
      </c>
      <c r="K63" s="703">
        <f t="shared" si="7"/>
        <v>19200</v>
      </c>
      <c r="L63" s="702"/>
    </row>
    <row r="64" spans="1:12" s="681" customFormat="1" ht="24.95" customHeight="1" outlineLevel="3">
      <c r="A64" s="702">
        <v>6</v>
      </c>
      <c r="B64" s="702" t="s">
        <v>2197</v>
      </c>
      <c r="C64" s="702" t="s">
        <v>379</v>
      </c>
      <c r="D64" s="699" t="s">
        <v>445</v>
      </c>
      <c r="E64" s="698" t="s">
        <v>2172</v>
      </c>
      <c r="F64" s="699" t="s">
        <v>1169</v>
      </c>
      <c r="G64" s="704" t="s">
        <v>2199</v>
      </c>
      <c r="H64" s="702"/>
      <c r="I64" s="701">
        <v>700</v>
      </c>
      <c r="J64" s="702">
        <v>6</v>
      </c>
      <c r="K64" s="703">
        <f t="shared" si="7"/>
        <v>4200</v>
      </c>
      <c r="L64" s="702"/>
    </row>
    <row r="65" spans="1:12" s="681" customFormat="1" ht="24.95" customHeight="1" outlineLevel="3">
      <c r="A65" s="702">
        <v>6</v>
      </c>
      <c r="B65" s="702" t="s">
        <v>2197</v>
      </c>
      <c r="C65" s="702" t="s">
        <v>379</v>
      </c>
      <c r="D65" s="699" t="s">
        <v>445</v>
      </c>
      <c r="E65" s="698" t="s">
        <v>2172</v>
      </c>
      <c r="F65" s="699" t="s">
        <v>1169</v>
      </c>
      <c r="G65" s="704" t="s">
        <v>2206</v>
      </c>
      <c r="H65" s="702"/>
      <c r="I65" s="701">
        <v>2000</v>
      </c>
      <c r="J65" s="702">
        <v>6</v>
      </c>
      <c r="K65" s="703">
        <f t="shared" si="7"/>
        <v>12000</v>
      </c>
      <c r="L65" s="702"/>
    </row>
    <row r="66" spans="1:12" s="681" customFormat="1" ht="24.95" customHeight="1" outlineLevel="3">
      <c r="A66" s="702">
        <v>6</v>
      </c>
      <c r="B66" s="702" t="s">
        <v>2197</v>
      </c>
      <c r="C66" s="702" t="s">
        <v>379</v>
      </c>
      <c r="D66" s="699" t="s">
        <v>445</v>
      </c>
      <c r="E66" s="698" t="s">
        <v>2172</v>
      </c>
      <c r="F66" s="699" t="s">
        <v>1172</v>
      </c>
      <c r="G66" s="704" t="s">
        <v>2211</v>
      </c>
      <c r="H66" s="702"/>
      <c r="I66" s="701">
        <v>12000</v>
      </c>
      <c r="J66" s="702">
        <v>6</v>
      </c>
      <c r="K66" s="703">
        <f t="shared" si="7"/>
        <v>72000</v>
      </c>
      <c r="L66" s="702"/>
    </row>
    <row r="67" spans="1:12" s="681" customFormat="1" ht="24.95" customHeight="1" outlineLevel="3">
      <c r="A67" s="702">
        <v>6</v>
      </c>
      <c r="B67" s="702" t="s">
        <v>2197</v>
      </c>
      <c r="C67" s="702" t="s">
        <v>379</v>
      </c>
      <c r="D67" s="699" t="s">
        <v>445</v>
      </c>
      <c r="E67" s="698" t="s">
        <v>2172</v>
      </c>
      <c r="F67" s="710" t="s">
        <v>2200</v>
      </c>
      <c r="G67" s="704" t="s">
        <v>2201</v>
      </c>
      <c r="H67" s="702"/>
      <c r="I67" s="701">
        <v>5000</v>
      </c>
      <c r="J67" s="702">
        <v>12</v>
      </c>
      <c r="K67" s="703">
        <f t="shared" si="7"/>
        <v>60000</v>
      </c>
      <c r="L67" s="702"/>
    </row>
    <row r="68" spans="1:12" s="681" customFormat="1" ht="24.95" customHeight="1" outlineLevel="1">
      <c r="A68" s="694"/>
      <c r="B68" s="694"/>
      <c r="C68" s="694"/>
      <c r="D68" s="691" t="s">
        <v>2213</v>
      </c>
      <c r="E68" s="690"/>
      <c r="F68" s="691"/>
      <c r="G68" s="691"/>
      <c r="H68" s="694"/>
      <c r="I68" s="693"/>
      <c r="J68" s="694"/>
      <c r="K68" s="695">
        <f>SUBTOTAL(9,K69:K73)</f>
        <v>71000</v>
      </c>
      <c r="L68" s="694"/>
    </row>
    <row r="69" spans="1:12" s="681" customFormat="1" ht="24.95" customHeight="1" outlineLevel="3">
      <c r="A69" s="702">
        <v>7</v>
      </c>
      <c r="B69" s="702" t="s">
        <v>2197</v>
      </c>
      <c r="C69" s="702" t="s">
        <v>379</v>
      </c>
      <c r="D69" s="699" t="s">
        <v>447</v>
      </c>
      <c r="E69" s="698" t="s">
        <v>2172</v>
      </c>
      <c r="F69" s="699" t="s">
        <v>1169</v>
      </c>
      <c r="G69" s="699" t="s">
        <v>2173</v>
      </c>
      <c r="H69" s="702"/>
      <c r="I69" s="701">
        <v>400</v>
      </c>
      <c r="J69" s="702">
        <v>80</v>
      </c>
      <c r="K69" s="703">
        <f t="shared" ref="K69:K73" si="8">I69*J69</f>
        <v>32000</v>
      </c>
      <c r="L69" s="702"/>
    </row>
    <row r="70" spans="1:12" s="681" customFormat="1" ht="24.95" customHeight="1" outlineLevel="3">
      <c r="A70" s="702">
        <v>7</v>
      </c>
      <c r="B70" s="702" t="s">
        <v>2197</v>
      </c>
      <c r="C70" s="702" t="s">
        <v>379</v>
      </c>
      <c r="D70" s="699" t="s">
        <v>447</v>
      </c>
      <c r="E70" s="698" t="s">
        <v>2172</v>
      </c>
      <c r="F70" s="699" t="s">
        <v>1169</v>
      </c>
      <c r="G70" s="704" t="s">
        <v>1872</v>
      </c>
      <c r="H70" s="702"/>
      <c r="I70" s="701">
        <v>2000</v>
      </c>
      <c r="J70" s="702">
        <v>2</v>
      </c>
      <c r="K70" s="703">
        <f t="shared" si="8"/>
        <v>4000</v>
      </c>
      <c r="L70" s="702"/>
    </row>
    <row r="71" spans="1:12" s="681" customFormat="1" ht="24.95" customHeight="1" outlineLevel="3">
      <c r="A71" s="702">
        <v>7</v>
      </c>
      <c r="B71" s="702" t="s">
        <v>2197</v>
      </c>
      <c r="C71" s="702" t="s">
        <v>379</v>
      </c>
      <c r="D71" s="699" t="s">
        <v>447</v>
      </c>
      <c r="E71" s="698" t="s">
        <v>2172</v>
      </c>
      <c r="F71" s="699" t="s">
        <v>1169</v>
      </c>
      <c r="G71" s="704" t="s">
        <v>2174</v>
      </c>
      <c r="H71" s="702"/>
      <c r="I71" s="701">
        <v>3500</v>
      </c>
      <c r="J71" s="702">
        <v>2</v>
      </c>
      <c r="K71" s="703">
        <f t="shared" si="8"/>
        <v>7000</v>
      </c>
      <c r="L71" s="702"/>
    </row>
    <row r="72" spans="1:12" s="681" customFormat="1" ht="24.95" customHeight="1" outlineLevel="3">
      <c r="A72" s="702">
        <v>7</v>
      </c>
      <c r="B72" s="702" t="s">
        <v>2197</v>
      </c>
      <c r="C72" s="702" t="s">
        <v>379</v>
      </c>
      <c r="D72" s="699" t="s">
        <v>447</v>
      </c>
      <c r="E72" s="698" t="s">
        <v>2172</v>
      </c>
      <c r="F72" s="699" t="s">
        <v>1169</v>
      </c>
      <c r="G72" s="704" t="s">
        <v>2206</v>
      </c>
      <c r="H72" s="702"/>
      <c r="I72" s="701">
        <v>2000</v>
      </c>
      <c r="J72" s="702">
        <v>2</v>
      </c>
      <c r="K72" s="703">
        <f t="shared" si="8"/>
        <v>4000</v>
      </c>
      <c r="L72" s="702"/>
    </row>
    <row r="73" spans="1:12" s="681" customFormat="1" ht="24.95" customHeight="1" outlineLevel="3">
      <c r="A73" s="702">
        <v>7</v>
      </c>
      <c r="B73" s="702" t="s">
        <v>2197</v>
      </c>
      <c r="C73" s="702" t="s">
        <v>379</v>
      </c>
      <c r="D73" s="699" t="s">
        <v>447</v>
      </c>
      <c r="E73" s="698" t="s">
        <v>2172</v>
      </c>
      <c r="F73" s="699" t="s">
        <v>1172</v>
      </c>
      <c r="G73" s="704" t="s">
        <v>2211</v>
      </c>
      <c r="H73" s="702"/>
      <c r="I73" s="701">
        <v>12000</v>
      </c>
      <c r="J73" s="702">
        <v>2</v>
      </c>
      <c r="K73" s="703">
        <f t="shared" si="8"/>
        <v>24000</v>
      </c>
      <c r="L73" s="702"/>
    </row>
    <row r="74" spans="1:12" s="681" customFormat="1" ht="24.95" customHeight="1" outlineLevel="1">
      <c r="A74" s="688"/>
      <c r="B74" s="688"/>
      <c r="C74" s="688"/>
      <c r="D74" s="689" t="s">
        <v>2214</v>
      </c>
      <c r="E74" s="690"/>
      <c r="F74" s="706"/>
      <c r="G74" s="707"/>
      <c r="H74" s="692"/>
      <c r="I74" s="708"/>
      <c r="J74" s="709"/>
      <c r="K74" s="695">
        <f>SUBTOTAL(9,K75:K87)</f>
        <v>217000</v>
      </c>
      <c r="L74" s="691"/>
    </row>
    <row r="75" spans="1:12" s="681" customFormat="1" ht="24.95" customHeight="1" outlineLevel="3">
      <c r="A75" s="696">
        <v>8</v>
      </c>
      <c r="B75" s="696" t="s">
        <v>2197</v>
      </c>
      <c r="C75" s="696" t="s">
        <v>382</v>
      </c>
      <c r="D75" s="697" t="s">
        <v>452</v>
      </c>
      <c r="E75" s="698" t="s">
        <v>2172</v>
      </c>
      <c r="F75" s="710" t="s">
        <v>1169</v>
      </c>
      <c r="G75" s="705" t="s">
        <v>2178</v>
      </c>
      <c r="H75" s="700" t="s">
        <v>2179</v>
      </c>
      <c r="I75" s="711">
        <v>650</v>
      </c>
      <c r="J75" s="712">
        <v>5</v>
      </c>
      <c r="K75" s="703">
        <f t="shared" ref="K75:K87" si="9">I75*J75</f>
        <v>3250</v>
      </c>
      <c r="L75" s="699"/>
    </row>
    <row r="76" spans="1:12" s="681" customFormat="1" ht="24.95" customHeight="1" outlineLevel="3">
      <c r="A76" s="696">
        <v>8</v>
      </c>
      <c r="B76" s="696" t="s">
        <v>2197</v>
      </c>
      <c r="C76" s="696" t="s">
        <v>382</v>
      </c>
      <c r="D76" s="697" t="s">
        <v>452</v>
      </c>
      <c r="E76" s="698" t="s">
        <v>2172</v>
      </c>
      <c r="F76" s="710" t="s">
        <v>1169</v>
      </c>
      <c r="G76" s="705" t="s">
        <v>2180</v>
      </c>
      <c r="H76" s="700" t="s">
        <v>2179</v>
      </c>
      <c r="I76" s="711">
        <v>650</v>
      </c>
      <c r="J76" s="712">
        <v>5</v>
      </c>
      <c r="K76" s="703">
        <f t="shared" si="9"/>
        <v>3250</v>
      </c>
      <c r="L76" s="699"/>
    </row>
    <row r="77" spans="1:12" s="681" customFormat="1" ht="24.95" customHeight="1" outlineLevel="3">
      <c r="A77" s="696">
        <v>8</v>
      </c>
      <c r="B77" s="696" t="s">
        <v>2197</v>
      </c>
      <c r="C77" s="696" t="s">
        <v>382</v>
      </c>
      <c r="D77" s="697" t="s">
        <v>452</v>
      </c>
      <c r="E77" s="698" t="s">
        <v>2172</v>
      </c>
      <c r="F77" s="710" t="s">
        <v>1169</v>
      </c>
      <c r="G77" s="705" t="s">
        <v>2215</v>
      </c>
      <c r="H77" s="705" t="s">
        <v>2216</v>
      </c>
      <c r="I77" s="711">
        <v>380</v>
      </c>
      <c r="J77" s="712">
        <v>30</v>
      </c>
      <c r="K77" s="703">
        <f t="shared" si="9"/>
        <v>11400</v>
      </c>
      <c r="L77" s="699"/>
    </row>
    <row r="78" spans="1:12" s="681" customFormat="1" ht="24.95" customHeight="1" outlineLevel="3">
      <c r="A78" s="696">
        <v>8</v>
      </c>
      <c r="B78" s="696" t="s">
        <v>2197</v>
      </c>
      <c r="C78" s="696" t="s">
        <v>382</v>
      </c>
      <c r="D78" s="697" t="s">
        <v>452</v>
      </c>
      <c r="E78" s="698" t="s">
        <v>2172</v>
      </c>
      <c r="F78" s="710" t="s">
        <v>1169</v>
      </c>
      <c r="G78" s="705" t="s">
        <v>2181</v>
      </c>
      <c r="H78" s="705" t="s">
        <v>2182</v>
      </c>
      <c r="I78" s="713">
        <v>2400</v>
      </c>
      <c r="J78" s="712">
        <v>1</v>
      </c>
      <c r="K78" s="703">
        <f t="shared" si="9"/>
        <v>2400</v>
      </c>
      <c r="L78" s="699"/>
    </row>
    <row r="79" spans="1:12" s="681" customFormat="1" ht="24.95" customHeight="1" outlineLevel="3">
      <c r="A79" s="696">
        <v>8</v>
      </c>
      <c r="B79" s="696" t="s">
        <v>2197</v>
      </c>
      <c r="C79" s="696" t="s">
        <v>382</v>
      </c>
      <c r="D79" s="697" t="s">
        <v>452</v>
      </c>
      <c r="E79" s="698" t="s">
        <v>2172</v>
      </c>
      <c r="F79" s="710" t="s">
        <v>1169</v>
      </c>
      <c r="G79" s="705" t="s">
        <v>2183</v>
      </c>
      <c r="H79" s="705" t="s">
        <v>2184</v>
      </c>
      <c r="I79" s="711">
        <v>700</v>
      </c>
      <c r="J79" s="712">
        <v>1</v>
      </c>
      <c r="K79" s="703">
        <f t="shared" si="9"/>
        <v>700</v>
      </c>
      <c r="L79" s="699"/>
    </row>
    <row r="80" spans="1:12" s="681" customFormat="1" ht="24.95" customHeight="1" outlineLevel="3">
      <c r="A80" s="696">
        <v>8</v>
      </c>
      <c r="B80" s="696" t="s">
        <v>2197</v>
      </c>
      <c r="C80" s="696" t="s">
        <v>382</v>
      </c>
      <c r="D80" s="697" t="s">
        <v>452</v>
      </c>
      <c r="E80" s="698" t="s">
        <v>2172</v>
      </c>
      <c r="F80" s="710" t="s">
        <v>1169</v>
      </c>
      <c r="G80" s="705" t="s">
        <v>2185</v>
      </c>
      <c r="H80" s="705" t="s">
        <v>2186</v>
      </c>
      <c r="I80" s="711">
        <v>6000</v>
      </c>
      <c r="J80" s="712">
        <v>1</v>
      </c>
      <c r="K80" s="703">
        <f t="shared" si="9"/>
        <v>6000</v>
      </c>
      <c r="L80" s="699"/>
    </row>
    <row r="81" spans="1:12" s="681" customFormat="1" ht="24.95" customHeight="1" outlineLevel="3">
      <c r="A81" s="696">
        <v>8</v>
      </c>
      <c r="B81" s="696" t="s">
        <v>2197</v>
      </c>
      <c r="C81" s="696" t="s">
        <v>382</v>
      </c>
      <c r="D81" s="697" t="s">
        <v>452</v>
      </c>
      <c r="E81" s="698" t="s">
        <v>2172</v>
      </c>
      <c r="F81" s="710" t="s">
        <v>1175</v>
      </c>
      <c r="G81" s="705" t="s">
        <v>1175</v>
      </c>
      <c r="H81" s="705" t="s">
        <v>2187</v>
      </c>
      <c r="I81" s="711">
        <v>13000</v>
      </c>
      <c r="J81" s="712">
        <v>1</v>
      </c>
      <c r="K81" s="703">
        <f t="shared" si="9"/>
        <v>13000</v>
      </c>
      <c r="L81" s="699"/>
    </row>
    <row r="82" spans="1:12" s="681" customFormat="1" ht="24.95" customHeight="1" outlineLevel="3">
      <c r="A82" s="696">
        <v>8</v>
      </c>
      <c r="B82" s="696" t="s">
        <v>2197</v>
      </c>
      <c r="C82" s="696" t="s">
        <v>382</v>
      </c>
      <c r="D82" s="697" t="s">
        <v>452</v>
      </c>
      <c r="E82" s="698" t="s">
        <v>2172</v>
      </c>
      <c r="F82" s="710" t="s">
        <v>2188</v>
      </c>
      <c r="G82" s="705" t="s">
        <v>2188</v>
      </c>
      <c r="H82" s="714" t="s">
        <v>2189</v>
      </c>
      <c r="I82" s="713">
        <v>9000</v>
      </c>
      <c r="J82" s="712">
        <v>1</v>
      </c>
      <c r="K82" s="703">
        <f t="shared" si="9"/>
        <v>9000</v>
      </c>
      <c r="L82" s="699"/>
    </row>
    <row r="83" spans="1:12" s="681" customFormat="1" ht="24.95" customHeight="1" outlineLevel="3">
      <c r="A83" s="696">
        <v>8</v>
      </c>
      <c r="B83" s="696" t="s">
        <v>2197</v>
      </c>
      <c r="C83" s="696" t="s">
        <v>382</v>
      </c>
      <c r="D83" s="697" t="s">
        <v>452</v>
      </c>
      <c r="E83" s="698" t="s">
        <v>2172</v>
      </c>
      <c r="F83" s="705" t="s">
        <v>2190</v>
      </c>
      <c r="G83" s="705" t="s">
        <v>2217</v>
      </c>
      <c r="H83" s="705"/>
      <c r="I83" s="711">
        <v>13000</v>
      </c>
      <c r="J83" s="712">
        <v>5</v>
      </c>
      <c r="K83" s="703">
        <f t="shared" si="9"/>
        <v>65000</v>
      </c>
      <c r="L83" s="699"/>
    </row>
    <row r="84" spans="1:12" s="681" customFormat="1" ht="24.95" customHeight="1" outlineLevel="3">
      <c r="A84" s="696">
        <v>8</v>
      </c>
      <c r="B84" s="696" t="s">
        <v>2197</v>
      </c>
      <c r="C84" s="696" t="s">
        <v>382</v>
      </c>
      <c r="D84" s="697" t="s">
        <v>452</v>
      </c>
      <c r="E84" s="698" t="s">
        <v>2172</v>
      </c>
      <c r="F84" s="705" t="s">
        <v>2190</v>
      </c>
      <c r="G84" s="705" t="s">
        <v>2218</v>
      </c>
      <c r="H84" s="705"/>
      <c r="I84" s="711">
        <v>8000</v>
      </c>
      <c r="J84" s="712">
        <v>5</v>
      </c>
      <c r="K84" s="703">
        <f t="shared" si="9"/>
        <v>40000</v>
      </c>
      <c r="L84" s="699"/>
    </row>
    <row r="85" spans="1:12" s="681" customFormat="1" ht="24.95" customHeight="1" outlineLevel="3">
      <c r="A85" s="696">
        <v>8</v>
      </c>
      <c r="B85" s="696" t="s">
        <v>2197</v>
      </c>
      <c r="C85" s="696" t="s">
        <v>382</v>
      </c>
      <c r="D85" s="697" t="s">
        <v>452</v>
      </c>
      <c r="E85" s="698" t="s">
        <v>2172</v>
      </c>
      <c r="F85" s="715" t="s">
        <v>1172</v>
      </c>
      <c r="G85" s="705" t="s">
        <v>2193</v>
      </c>
      <c r="H85" s="705"/>
      <c r="I85" s="713">
        <v>10000</v>
      </c>
      <c r="J85" s="712">
        <v>5</v>
      </c>
      <c r="K85" s="703">
        <f t="shared" si="9"/>
        <v>50000</v>
      </c>
      <c r="L85" s="699"/>
    </row>
    <row r="86" spans="1:12" s="681" customFormat="1" ht="24.95" customHeight="1" outlineLevel="3">
      <c r="A86" s="696">
        <v>8</v>
      </c>
      <c r="B86" s="696" t="s">
        <v>2197</v>
      </c>
      <c r="C86" s="696" t="s">
        <v>382</v>
      </c>
      <c r="D86" s="697" t="s">
        <v>452</v>
      </c>
      <c r="E86" s="698" t="s">
        <v>2172</v>
      </c>
      <c r="F86" s="705" t="s">
        <v>2194</v>
      </c>
      <c r="G86" s="705" t="s">
        <v>2194</v>
      </c>
      <c r="H86" s="705"/>
      <c r="I86" s="713">
        <v>1200</v>
      </c>
      <c r="J86" s="712">
        <v>5</v>
      </c>
      <c r="K86" s="703">
        <f t="shared" si="9"/>
        <v>6000</v>
      </c>
      <c r="L86" s="699"/>
    </row>
    <row r="87" spans="1:12" s="681" customFormat="1" ht="24.95" customHeight="1" outlineLevel="3">
      <c r="A87" s="696">
        <v>8</v>
      </c>
      <c r="B87" s="696" t="s">
        <v>2197</v>
      </c>
      <c r="C87" s="696" t="s">
        <v>382</v>
      </c>
      <c r="D87" s="697" t="s">
        <v>452</v>
      </c>
      <c r="E87" s="698" t="s">
        <v>2172</v>
      </c>
      <c r="F87" s="705" t="s">
        <v>2195</v>
      </c>
      <c r="G87" s="705" t="s">
        <v>2195</v>
      </c>
      <c r="H87" s="705"/>
      <c r="I87" s="713">
        <v>1400</v>
      </c>
      <c r="J87" s="712">
        <v>5</v>
      </c>
      <c r="K87" s="703">
        <f t="shared" si="9"/>
        <v>7000</v>
      </c>
      <c r="L87" s="699"/>
    </row>
    <row r="88" spans="1:12" s="681" customFormat="1" ht="24.95" customHeight="1" outlineLevel="1">
      <c r="A88" s="688"/>
      <c r="B88" s="688"/>
      <c r="C88" s="688"/>
      <c r="D88" s="689" t="s">
        <v>2219</v>
      </c>
      <c r="E88" s="690"/>
      <c r="F88" s="706"/>
      <c r="G88" s="707"/>
      <c r="H88" s="692"/>
      <c r="I88" s="708"/>
      <c r="J88" s="709"/>
      <c r="K88" s="695">
        <f>SUBTOTAL(9,K89:K101)</f>
        <v>269400</v>
      </c>
      <c r="L88" s="691"/>
    </row>
    <row r="89" spans="1:12" s="681" customFormat="1" ht="24.95" customHeight="1" outlineLevel="3">
      <c r="A89" s="696">
        <v>9</v>
      </c>
      <c r="B89" s="696" t="s">
        <v>2197</v>
      </c>
      <c r="C89" s="696" t="s">
        <v>382</v>
      </c>
      <c r="D89" s="697" t="s">
        <v>644</v>
      </c>
      <c r="E89" s="698" t="s">
        <v>2172</v>
      </c>
      <c r="F89" s="710" t="s">
        <v>1169</v>
      </c>
      <c r="G89" s="705" t="s">
        <v>2178</v>
      </c>
      <c r="H89" s="700" t="s">
        <v>2179</v>
      </c>
      <c r="I89" s="711">
        <v>650</v>
      </c>
      <c r="J89" s="712">
        <v>20</v>
      </c>
      <c r="K89" s="703">
        <f t="shared" ref="K89:K101" si="10">I89*J89</f>
        <v>13000</v>
      </c>
      <c r="L89" s="699"/>
    </row>
    <row r="90" spans="1:12" s="681" customFormat="1" ht="24.95" customHeight="1" outlineLevel="3">
      <c r="A90" s="696">
        <v>9</v>
      </c>
      <c r="B90" s="696" t="s">
        <v>2197</v>
      </c>
      <c r="C90" s="696" t="s">
        <v>382</v>
      </c>
      <c r="D90" s="697" t="s">
        <v>644</v>
      </c>
      <c r="E90" s="698" t="s">
        <v>2172</v>
      </c>
      <c r="F90" s="710" t="s">
        <v>1169</v>
      </c>
      <c r="G90" s="705" t="s">
        <v>2180</v>
      </c>
      <c r="H90" s="700" t="s">
        <v>2179</v>
      </c>
      <c r="I90" s="711">
        <v>650</v>
      </c>
      <c r="J90" s="712">
        <v>20</v>
      </c>
      <c r="K90" s="703">
        <f t="shared" si="10"/>
        <v>13000</v>
      </c>
      <c r="L90" s="699"/>
    </row>
    <row r="91" spans="1:12" s="681" customFormat="1" ht="24.95" customHeight="1" outlineLevel="3">
      <c r="A91" s="696">
        <v>9</v>
      </c>
      <c r="B91" s="696" t="s">
        <v>2197</v>
      </c>
      <c r="C91" s="696" t="s">
        <v>382</v>
      </c>
      <c r="D91" s="697" t="s">
        <v>644</v>
      </c>
      <c r="E91" s="698" t="s">
        <v>2172</v>
      </c>
      <c r="F91" s="710" t="s">
        <v>1169</v>
      </c>
      <c r="G91" s="705" t="s">
        <v>2215</v>
      </c>
      <c r="H91" s="705" t="s">
        <v>2216</v>
      </c>
      <c r="I91" s="711">
        <v>380</v>
      </c>
      <c r="J91" s="712">
        <v>120</v>
      </c>
      <c r="K91" s="703">
        <f t="shared" si="10"/>
        <v>45600</v>
      </c>
      <c r="L91" s="699"/>
    </row>
    <row r="92" spans="1:12" s="681" customFormat="1" ht="24.95" customHeight="1" outlineLevel="3">
      <c r="A92" s="696">
        <v>9</v>
      </c>
      <c r="B92" s="696" t="s">
        <v>2197</v>
      </c>
      <c r="C92" s="696" t="s">
        <v>382</v>
      </c>
      <c r="D92" s="697" t="s">
        <v>644</v>
      </c>
      <c r="E92" s="698" t="s">
        <v>2172</v>
      </c>
      <c r="F92" s="710" t="s">
        <v>1169</v>
      </c>
      <c r="G92" s="705" t="s">
        <v>2181</v>
      </c>
      <c r="H92" s="705" t="s">
        <v>2182</v>
      </c>
      <c r="I92" s="713">
        <v>2400</v>
      </c>
      <c r="J92" s="712">
        <v>4</v>
      </c>
      <c r="K92" s="703">
        <f t="shared" si="10"/>
        <v>9600</v>
      </c>
      <c r="L92" s="699"/>
    </row>
    <row r="93" spans="1:12" s="681" customFormat="1" ht="24.95" customHeight="1" outlineLevel="3">
      <c r="A93" s="696">
        <v>9</v>
      </c>
      <c r="B93" s="696" t="s">
        <v>2197</v>
      </c>
      <c r="C93" s="696" t="s">
        <v>382</v>
      </c>
      <c r="D93" s="697" t="s">
        <v>644</v>
      </c>
      <c r="E93" s="698" t="s">
        <v>2172</v>
      </c>
      <c r="F93" s="710" t="s">
        <v>1169</v>
      </c>
      <c r="G93" s="705" t="s">
        <v>2183</v>
      </c>
      <c r="H93" s="705" t="s">
        <v>2184</v>
      </c>
      <c r="I93" s="711">
        <v>700</v>
      </c>
      <c r="J93" s="712">
        <v>4</v>
      </c>
      <c r="K93" s="703">
        <f t="shared" si="10"/>
        <v>2800</v>
      </c>
      <c r="L93" s="699"/>
    </row>
    <row r="94" spans="1:12" s="681" customFormat="1" ht="24.95" customHeight="1" outlineLevel="3">
      <c r="A94" s="696">
        <v>9</v>
      </c>
      <c r="B94" s="696" t="s">
        <v>2197</v>
      </c>
      <c r="C94" s="696" t="s">
        <v>382</v>
      </c>
      <c r="D94" s="697" t="s">
        <v>644</v>
      </c>
      <c r="E94" s="698" t="s">
        <v>2172</v>
      </c>
      <c r="F94" s="710" t="s">
        <v>1169</v>
      </c>
      <c r="G94" s="705" t="s">
        <v>2185</v>
      </c>
      <c r="H94" s="705" t="s">
        <v>2186</v>
      </c>
      <c r="I94" s="711">
        <v>6000</v>
      </c>
      <c r="J94" s="712">
        <v>4</v>
      </c>
      <c r="K94" s="703">
        <f t="shared" si="10"/>
        <v>24000</v>
      </c>
      <c r="L94" s="699"/>
    </row>
    <row r="95" spans="1:12" s="681" customFormat="1" ht="24.95" customHeight="1" outlineLevel="3">
      <c r="A95" s="696">
        <v>9</v>
      </c>
      <c r="B95" s="696" t="s">
        <v>2197</v>
      </c>
      <c r="C95" s="696" t="s">
        <v>382</v>
      </c>
      <c r="D95" s="697" t="s">
        <v>644</v>
      </c>
      <c r="E95" s="698" t="s">
        <v>2172</v>
      </c>
      <c r="F95" s="710" t="s">
        <v>1169</v>
      </c>
      <c r="G95" s="705" t="s">
        <v>2198</v>
      </c>
      <c r="H95" s="705"/>
      <c r="I95" s="711">
        <v>1600</v>
      </c>
      <c r="J95" s="712">
        <v>4</v>
      </c>
      <c r="K95" s="703">
        <f t="shared" si="10"/>
        <v>6400</v>
      </c>
      <c r="L95" s="699"/>
    </row>
    <row r="96" spans="1:12" s="681" customFormat="1" ht="24.95" customHeight="1" outlineLevel="3">
      <c r="A96" s="696">
        <v>9</v>
      </c>
      <c r="B96" s="696" t="s">
        <v>2197</v>
      </c>
      <c r="C96" s="696" t="s">
        <v>382</v>
      </c>
      <c r="D96" s="697" t="s">
        <v>644</v>
      </c>
      <c r="E96" s="698" t="s">
        <v>2172</v>
      </c>
      <c r="F96" s="710" t="s">
        <v>1169</v>
      </c>
      <c r="G96" s="705" t="s">
        <v>2220</v>
      </c>
      <c r="H96" s="705"/>
      <c r="I96" s="711">
        <v>700</v>
      </c>
      <c r="J96" s="712">
        <v>2</v>
      </c>
      <c r="K96" s="703">
        <f t="shared" si="10"/>
        <v>1400</v>
      </c>
      <c r="L96" s="699"/>
    </row>
    <row r="97" spans="1:12" s="681" customFormat="1" ht="24.95" customHeight="1" outlineLevel="3">
      <c r="A97" s="696">
        <v>9</v>
      </c>
      <c r="B97" s="696" t="s">
        <v>2197</v>
      </c>
      <c r="C97" s="696" t="s">
        <v>382</v>
      </c>
      <c r="D97" s="697" t="s">
        <v>644</v>
      </c>
      <c r="E97" s="698" t="s">
        <v>2172</v>
      </c>
      <c r="F97" s="710" t="s">
        <v>1175</v>
      </c>
      <c r="G97" s="705" t="s">
        <v>1175</v>
      </c>
      <c r="H97" s="705" t="s">
        <v>2187</v>
      </c>
      <c r="I97" s="711">
        <v>13000</v>
      </c>
      <c r="J97" s="712">
        <v>4</v>
      </c>
      <c r="K97" s="703">
        <f t="shared" si="10"/>
        <v>52000</v>
      </c>
      <c r="L97" s="699"/>
    </row>
    <row r="98" spans="1:12" s="681" customFormat="1" ht="24.95" customHeight="1" outlineLevel="3">
      <c r="A98" s="696">
        <v>9</v>
      </c>
      <c r="B98" s="696" t="s">
        <v>2197</v>
      </c>
      <c r="C98" s="696" t="s">
        <v>382</v>
      </c>
      <c r="D98" s="697" t="s">
        <v>644</v>
      </c>
      <c r="E98" s="698" t="s">
        <v>2172</v>
      </c>
      <c r="F98" s="710" t="s">
        <v>2188</v>
      </c>
      <c r="G98" s="705" t="s">
        <v>2188</v>
      </c>
      <c r="H98" s="714" t="s">
        <v>2189</v>
      </c>
      <c r="I98" s="713">
        <v>9000</v>
      </c>
      <c r="J98" s="712">
        <v>4</v>
      </c>
      <c r="K98" s="703">
        <f t="shared" si="10"/>
        <v>36000</v>
      </c>
      <c r="L98" s="699"/>
    </row>
    <row r="99" spans="1:12" s="681" customFormat="1" ht="24.95" customHeight="1" outlineLevel="3">
      <c r="A99" s="696">
        <v>9</v>
      </c>
      <c r="B99" s="696" t="s">
        <v>2197</v>
      </c>
      <c r="C99" s="696" t="s">
        <v>382</v>
      </c>
      <c r="D99" s="697" t="s">
        <v>644</v>
      </c>
      <c r="E99" s="698" t="s">
        <v>2172</v>
      </c>
      <c r="F99" s="710" t="s">
        <v>2200</v>
      </c>
      <c r="G99" s="705" t="s">
        <v>2200</v>
      </c>
      <c r="H99" s="705"/>
      <c r="I99" s="711">
        <v>5000</v>
      </c>
      <c r="J99" s="712">
        <v>4</v>
      </c>
      <c r="K99" s="703">
        <f t="shared" si="10"/>
        <v>20000</v>
      </c>
      <c r="L99" s="699"/>
    </row>
    <row r="100" spans="1:12" s="681" customFormat="1" ht="24.95" customHeight="1" outlineLevel="3">
      <c r="A100" s="696">
        <v>9</v>
      </c>
      <c r="B100" s="696" t="s">
        <v>2197</v>
      </c>
      <c r="C100" s="696" t="s">
        <v>382</v>
      </c>
      <c r="D100" s="697" t="s">
        <v>644</v>
      </c>
      <c r="E100" s="698" t="s">
        <v>2172</v>
      </c>
      <c r="F100" s="715" t="s">
        <v>1172</v>
      </c>
      <c r="G100" s="705" t="s">
        <v>2193</v>
      </c>
      <c r="H100" s="705"/>
      <c r="I100" s="713">
        <v>10000</v>
      </c>
      <c r="J100" s="712">
        <v>4</v>
      </c>
      <c r="K100" s="703">
        <f t="shared" si="10"/>
        <v>40000</v>
      </c>
      <c r="L100" s="699"/>
    </row>
    <row r="101" spans="1:12" s="681" customFormat="1" ht="24.95" customHeight="1" outlineLevel="3">
      <c r="A101" s="696">
        <v>9</v>
      </c>
      <c r="B101" s="696" t="s">
        <v>2197</v>
      </c>
      <c r="C101" s="696" t="s">
        <v>382</v>
      </c>
      <c r="D101" s="697" t="s">
        <v>644</v>
      </c>
      <c r="E101" s="698" t="s">
        <v>2172</v>
      </c>
      <c r="F101" s="705" t="s">
        <v>2195</v>
      </c>
      <c r="G101" s="705" t="s">
        <v>2195</v>
      </c>
      <c r="H101" s="705"/>
      <c r="I101" s="713">
        <v>1400</v>
      </c>
      <c r="J101" s="712">
        <v>4</v>
      </c>
      <c r="K101" s="703">
        <f t="shared" si="10"/>
        <v>5600</v>
      </c>
      <c r="L101" s="699"/>
    </row>
    <row r="102" spans="1:12" s="681" customFormat="1" ht="24.95" customHeight="1" outlineLevel="1">
      <c r="A102" s="688"/>
      <c r="B102" s="688"/>
      <c r="C102" s="688"/>
      <c r="D102" s="689" t="s">
        <v>2221</v>
      </c>
      <c r="E102" s="690"/>
      <c r="F102" s="706"/>
      <c r="G102" s="707"/>
      <c r="H102" s="692"/>
      <c r="I102" s="708"/>
      <c r="J102" s="709"/>
      <c r="K102" s="695">
        <f>SUBTOTAL(9,K103:K115)</f>
        <v>80900</v>
      </c>
      <c r="L102" s="691"/>
    </row>
    <row r="103" spans="1:12" s="681" customFormat="1" ht="24.95" customHeight="1" outlineLevel="3">
      <c r="A103" s="696">
        <v>10</v>
      </c>
      <c r="B103" s="696" t="s">
        <v>2197</v>
      </c>
      <c r="C103" s="696" t="s">
        <v>382</v>
      </c>
      <c r="D103" s="697" t="s">
        <v>457</v>
      </c>
      <c r="E103" s="698" t="s">
        <v>2172</v>
      </c>
      <c r="F103" s="710" t="s">
        <v>1169</v>
      </c>
      <c r="G103" s="705" t="s">
        <v>2178</v>
      </c>
      <c r="H103" s="700" t="s">
        <v>2179</v>
      </c>
      <c r="I103" s="711">
        <v>650</v>
      </c>
      <c r="J103" s="712">
        <v>5</v>
      </c>
      <c r="K103" s="703">
        <f t="shared" ref="K103:K115" si="11">I103*J103</f>
        <v>3250</v>
      </c>
      <c r="L103" s="699"/>
    </row>
    <row r="104" spans="1:12" s="681" customFormat="1" ht="24.95" customHeight="1" outlineLevel="3">
      <c r="A104" s="696">
        <v>10</v>
      </c>
      <c r="B104" s="696" t="s">
        <v>2197</v>
      </c>
      <c r="C104" s="696" t="s">
        <v>382</v>
      </c>
      <c r="D104" s="697" t="s">
        <v>457</v>
      </c>
      <c r="E104" s="698" t="s">
        <v>2172</v>
      </c>
      <c r="F104" s="710" t="s">
        <v>1169</v>
      </c>
      <c r="G104" s="705" t="s">
        <v>2180</v>
      </c>
      <c r="H104" s="700" t="s">
        <v>2179</v>
      </c>
      <c r="I104" s="711">
        <v>650</v>
      </c>
      <c r="J104" s="712">
        <v>5</v>
      </c>
      <c r="K104" s="703">
        <f t="shared" si="11"/>
        <v>3250</v>
      </c>
      <c r="L104" s="699"/>
    </row>
    <row r="105" spans="1:12" s="681" customFormat="1" ht="24.95" customHeight="1" outlineLevel="3">
      <c r="A105" s="696">
        <v>10</v>
      </c>
      <c r="B105" s="696" t="s">
        <v>2197</v>
      </c>
      <c r="C105" s="696" t="s">
        <v>382</v>
      </c>
      <c r="D105" s="697" t="s">
        <v>457</v>
      </c>
      <c r="E105" s="698" t="s">
        <v>2172</v>
      </c>
      <c r="F105" s="710" t="s">
        <v>1169</v>
      </c>
      <c r="G105" s="705" t="s">
        <v>2215</v>
      </c>
      <c r="H105" s="705" t="s">
        <v>2216</v>
      </c>
      <c r="I105" s="711">
        <v>380</v>
      </c>
      <c r="J105" s="712">
        <v>30</v>
      </c>
      <c r="K105" s="703">
        <f t="shared" si="11"/>
        <v>11400</v>
      </c>
      <c r="L105" s="699"/>
    </row>
    <row r="106" spans="1:12" s="681" customFormat="1" ht="24.95" customHeight="1" outlineLevel="3">
      <c r="A106" s="696">
        <v>10</v>
      </c>
      <c r="B106" s="696" t="s">
        <v>2197</v>
      </c>
      <c r="C106" s="696" t="s">
        <v>382</v>
      </c>
      <c r="D106" s="697" t="s">
        <v>457</v>
      </c>
      <c r="E106" s="698" t="s">
        <v>2172</v>
      </c>
      <c r="F106" s="710" t="s">
        <v>1169</v>
      </c>
      <c r="G106" s="705" t="s">
        <v>2181</v>
      </c>
      <c r="H106" s="705" t="s">
        <v>2182</v>
      </c>
      <c r="I106" s="713">
        <v>2400</v>
      </c>
      <c r="J106" s="712">
        <v>1</v>
      </c>
      <c r="K106" s="703">
        <f t="shared" si="11"/>
        <v>2400</v>
      </c>
      <c r="L106" s="699"/>
    </row>
    <row r="107" spans="1:12" s="681" customFormat="1" ht="24.95" customHeight="1" outlineLevel="3">
      <c r="A107" s="696">
        <v>10</v>
      </c>
      <c r="B107" s="696" t="s">
        <v>2197</v>
      </c>
      <c r="C107" s="696" t="s">
        <v>382</v>
      </c>
      <c r="D107" s="697" t="s">
        <v>457</v>
      </c>
      <c r="E107" s="698" t="s">
        <v>2172</v>
      </c>
      <c r="F107" s="710" t="s">
        <v>1169</v>
      </c>
      <c r="G107" s="705" t="s">
        <v>2183</v>
      </c>
      <c r="H107" s="705" t="s">
        <v>2184</v>
      </c>
      <c r="I107" s="711">
        <v>700</v>
      </c>
      <c r="J107" s="712">
        <v>1</v>
      </c>
      <c r="K107" s="703">
        <f t="shared" si="11"/>
        <v>700</v>
      </c>
      <c r="L107" s="699"/>
    </row>
    <row r="108" spans="1:12" s="681" customFormat="1" ht="24.95" customHeight="1" outlineLevel="3">
      <c r="A108" s="696">
        <v>10</v>
      </c>
      <c r="B108" s="696" t="s">
        <v>2197</v>
      </c>
      <c r="C108" s="696" t="s">
        <v>382</v>
      </c>
      <c r="D108" s="697" t="s">
        <v>457</v>
      </c>
      <c r="E108" s="698" t="s">
        <v>2172</v>
      </c>
      <c r="F108" s="710" t="s">
        <v>1169</v>
      </c>
      <c r="G108" s="705" t="s">
        <v>2185</v>
      </c>
      <c r="H108" s="705" t="s">
        <v>2186</v>
      </c>
      <c r="I108" s="711">
        <v>6000</v>
      </c>
      <c r="J108" s="712">
        <v>1</v>
      </c>
      <c r="K108" s="703">
        <f t="shared" si="11"/>
        <v>6000</v>
      </c>
      <c r="L108" s="716"/>
    </row>
    <row r="109" spans="1:12" s="681" customFormat="1" ht="24.95" customHeight="1" outlineLevel="3">
      <c r="A109" s="696">
        <v>10</v>
      </c>
      <c r="B109" s="696" t="s">
        <v>2197</v>
      </c>
      <c r="C109" s="696" t="s">
        <v>382</v>
      </c>
      <c r="D109" s="697" t="s">
        <v>457</v>
      </c>
      <c r="E109" s="698" t="s">
        <v>2172</v>
      </c>
      <c r="F109" s="710" t="s">
        <v>1175</v>
      </c>
      <c r="G109" s="705" t="s">
        <v>1175</v>
      </c>
      <c r="H109" s="705" t="s">
        <v>2187</v>
      </c>
      <c r="I109" s="711">
        <v>13000</v>
      </c>
      <c r="J109" s="712">
        <v>1</v>
      </c>
      <c r="K109" s="703">
        <f t="shared" si="11"/>
        <v>13000</v>
      </c>
      <c r="L109" s="699"/>
    </row>
    <row r="110" spans="1:12" s="681" customFormat="1" ht="24.95" customHeight="1" outlineLevel="3">
      <c r="A110" s="696">
        <v>10</v>
      </c>
      <c r="B110" s="696" t="s">
        <v>2197</v>
      </c>
      <c r="C110" s="696" t="s">
        <v>382</v>
      </c>
      <c r="D110" s="697" t="s">
        <v>457</v>
      </c>
      <c r="E110" s="698" t="s">
        <v>2172</v>
      </c>
      <c r="F110" s="710" t="s">
        <v>2188</v>
      </c>
      <c r="G110" s="705" t="s">
        <v>2188</v>
      </c>
      <c r="H110" s="714" t="s">
        <v>2189</v>
      </c>
      <c r="I110" s="713">
        <v>9000</v>
      </c>
      <c r="J110" s="712">
        <v>1</v>
      </c>
      <c r="K110" s="703">
        <f t="shared" si="11"/>
        <v>9000</v>
      </c>
      <c r="L110" s="699"/>
    </row>
    <row r="111" spans="1:12" s="681" customFormat="1" ht="24.95" customHeight="1" outlineLevel="3">
      <c r="A111" s="696">
        <v>10</v>
      </c>
      <c r="B111" s="696" t="s">
        <v>2197</v>
      </c>
      <c r="C111" s="696" t="s">
        <v>382</v>
      </c>
      <c r="D111" s="697" t="s">
        <v>457</v>
      </c>
      <c r="E111" s="698" t="s">
        <v>2172</v>
      </c>
      <c r="F111" s="705" t="s">
        <v>2190</v>
      </c>
      <c r="G111" s="705" t="s">
        <v>2191</v>
      </c>
      <c r="H111" s="705"/>
      <c r="I111" s="711">
        <v>7300</v>
      </c>
      <c r="J111" s="712">
        <v>1</v>
      </c>
      <c r="K111" s="703">
        <f t="shared" si="11"/>
        <v>7300</v>
      </c>
      <c r="L111" s="699"/>
    </row>
    <row r="112" spans="1:12" s="681" customFormat="1" ht="24.95" customHeight="1" outlineLevel="3">
      <c r="A112" s="696">
        <v>10</v>
      </c>
      <c r="B112" s="696" t="s">
        <v>2197</v>
      </c>
      <c r="C112" s="696" t="s">
        <v>382</v>
      </c>
      <c r="D112" s="697" t="s">
        <v>457</v>
      </c>
      <c r="E112" s="698" t="s">
        <v>2172</v>
      </c>
      <c r="F112" s="705" t="s">
        <v>2190</v>
      </c>
      <c r="G112" s="705" t="s">
        <v>2192</v>
      </c>
      <c r="H112" s="705"/>
      <c r="I112" s="711">
        <v>12000</v>
      </c>
      <c r="J112" s="712">
        <v>1</v>
      </c>
      <c r="K112" s="703">
        <f t="shared" si="11"/>
        <v>12000</v>
      </c>
      <c r="L112" s="699"/>
    </row>
    <row r="113" spans="1:12" s="681" customFormat="1" ht="24.95" customHeight="1" outlineLevel="3">
      <c r="A113" s="696">
        <v>10</v>
      </c>
      <c r="B113" s="696" t="s">
        <v>2197</v>
      </c>
      <c r="C113" s="696" t="s">
        <v>382</v>
      </c>
      <c r="D113" s="697" t="s">
        <v>457</v>
      </c>
      <c r="E113" s="698" t="s">
        <v>2172</v>
      </c>
      <c r="F113" s="715" t="s">
        <v>1172</v>
      </c>
      <c r="G113" s="705" t="s">
        <v>2193</v>
      </c>
      <c r="H113" s="705"/>
      <c r="I113" s="713">
        <v>10000</v>
      </c>
      <c r="J113" s="712">
        <v>1</v>
      </c>
      <c r="K113" s="703">
        <f t="shared" si="11"/>
        <v>10000</v>
      </c>
      <c r="L113" s="699"/>
    </row>
    <row r="114" spans="1:12" s="681" customFormat="1" ht="24.95" customHeight="1" outlineLevel="3">
      <c r="A114" s="696">
        <v>10</v>
      </c>
      <c r="B114" s="696" t="s">
        <v>2197</v>
      </c>
      <c r="C114" s="696" t="s">
        <v>382</v>
      </c>
      <c r="D114" s="697" t="s">
        <v>457</v>
      </c>
      <c r="E114" s="698" t="s">
        <v>2172</v>
      </c>
      <c r="F114" s="705" t="s">
        <v>2194</v>
      </c>
      <c r="G114" s="705" t="s">
        <v>2194</v>
      </c>
      <c r="H114" s="705"/>
      <c r="I114" s="713">
        <v>1200</v>
      </c>
      <c r="J114" s="712">
        <v>1</v>
      </c>
      <c r="K114" s="703">
        <f t="shared" si="11"/>
        <v>1200</v>
      </c>
      <c r="L114" s="699"/>
    </row>
    <row r="115" spans="1:12" s="681" customFormat="1" ht="24.95" customHeight="1" outlineLevel="3">
      <c r="A115" s="696">
        <v>10</v>
      </c>
      <c r="B115" s="696" t="s">
        <v>2197</v>
      </c>
      <c r="C115" s="696" t="s">
        <v>382</v>
      </c>
      <c r="D115" s="697" t="s">
        <v>457</v>
      </c>
      <c r="E115" s="698" t="s">
        <v>2172</v>
      </c>
      <c r="F115" s="705" t="s">
        <v>2195</v>
      </c>
      <c r="G115" s="705" t="s">
        <v>2195</v>
      </c>
      <c r="H115" s="705"/>
      <c r="I115" s="713">
        <v>1400</v>
      </c>
      <c r="J115" s="712">
        <v>1</v>
      </c>
      <c r="K115" s="703">
        <f t="shared" si="11"/>
        <v>1400</v>
      </c>
      <c r="L115" s="699"/>
    </row>
    <row r="116" spans="1:12" s="681" customFormat="1" ht="24.95" customHeight="1" outlineLevel="1">
      <c r="A116" s="688"/>
      <c r="B116" s="688" t="s">
        <v>1208</v>
      </c>
      <c r="C116" s="694"/>
      <c r="D116" s="691"/>
      <c r="E116" s="690"/>
      <c r="F116" s="691"/>
      <c r="G116" s="691"/>
      <c r="H116" s="694"/>
      <c r="I116" s="693"/>
      <c r="J116" s="694"/>
      <c r="K116" s="695">
        <f>SUBTOTAL(9,K118:K126)</f>
        <v>67500</v>
      </c>
      <c r="L116" s="691"/>
    </row>
    <row r="117" spans="1:12" s="681" customFormat="1" ht="24.95" customHeight="1" outlineLevel="1">
      <c r="A117" s="688"/>
      <c r="B117" s="688"/>
      <c r="C117" s="694"/>
      <c r="D117" s="691" t="s">
        <v>2222</v>
      </c>
      <c r="E117" s="690"/>
      <c r="F117" s="691"/>
      <c r="G117" s="691"/>
      <c r="H117" s="694"/>
      <c r="I117" s="693"/>
      <c r="J117" s="694"/>
      <c r="K117" s="695">
        <f>SUBTOTAL(9,K118:K122)</f>
        <v>37500</v>
      </c>
      <c r="L117" s="691"/>
    </row>
    <row r="118" spans="1:12" s="681" customFormat="1" ht="24.95" customHeight="1" outlineLevel="3">
      <c r="A118" s="696">
        <v>1</v>
      </c>
      <c r="B118" s="696" t="s">
        <v>2223</v>
      </c>
      <c r="C118" s="702" t="s">
        <v>374</v>
      </c>
      <c r="D118" s="699" t="s">
        <v>375</v>
      </c>
      <c r="E118" s="698" t="s">
        <v>2172</v>
      </c>
      <c r="F118" s="699" t="s">
        <v>1169</v>
      </c>
      <c r="G118" s="699" t="s">
        <v>2173</v>
      </c>
      <c r="H118" s="702"/>
      <c r="I118" s="701">
        <v>400</v>
      </c>
      <c r="J118" s="702">
        <v>45</v>
      </c>
      <c r="K118" s="703">
        <f t="shared" ref="K118:K122" si="12">I118*J118</f>
        <v>18000</v>
      </c>
      <c r="L118" s="699"/>
    </row>
    <row r="119" spans="1:12" s="681" customFormat="1" ht="24.95" customHeight="1" outlineLevel="3">
      <c r="A119" s="696">
        <v>1</v>
      </c>
      <c r="B119" s="696" t="s">
        <v>2223</v>
      </c>
      <c r="C119" s="702" t="s">
        <v>374</v>
      </c>
      <c r="D119" s="699" t="s">
        <v>375</v>
      </c>
      <c r="E119" s="698" t="s">
        <v>2172</v>
      </c>
      <c r="F119" s="699" t="s">
        <v>1169</v>
      </c>
      <c r="G119" s="704" t="s">
        <v>1872</v>
      </c>
      <c r="H119" s="702"/>
      <c r="I119" s="701">
        <v>2000</v>
      </c>
      <c r="J119" s="702">
        <v>1</v>
      </c>
      <c r="K119" s="703">
        <f t="shared" si="12"/>
        <v>2000</v>
      </c>
      <c r="L119" s="699"/>
    </row>
    <row r="120" spans="1:12" s="681" customFormat="1" ht="24.95" customHeight="1" outlineLevel="3">
      <c r="A120" s="696">
        <v>1</v>
      </c>
      <c r="B120" s="696" t="s">
        <v>2223</v>
      </c>
      <c r="C120" s="702" t="s">
        <v>374</v>
      </c>
      <c r="D120" s="699" t="s">
        <v>375</v>
      </c>
      <c r="E120" s="698" t="s">
        <v>2172</v>
      </c>
      <c r="F120" s="699" t="s">
        <v>1169</v>
      </c>
      <c r="G120" s="704" t="s">
        <v>2174</v>
      </c>
      <c r="H120" s="702"/>
      <c r="I120" s="701">
        <v>3500</v>
      </c>
      <c r="J120" s="702">
        <v>1</v>
      </c>
      <c r="K120" s="703">
        <f t="shared" si="12"/>
        <v>3500</v>
      </c>
      <c r="L120" s="699"/>
    </row>
    <row r="121" spans="1:12" s="681" customFormat="1" ht="24.95" customHeight="1" outlineLevel="3">
      <c r="A121" s="696">
        <v>1</v>
      </c>
      <c r="B121" s="696" t="s">
        <v>2223</v>
      </c>
      <c r="C121" s="702" t="s">
        <v>374</v>
      </c>
      <c r="D121" s="699" t="s">
        <v>375</v>
      </c>
      <c r="E121" s="698" t="s">
        <v>2172</v>
      </c>
      <c r="F121" s="699" t="s">
        <v>1169</v>
      </c>
      <c r="G121" s="704" t="s">
        <v>2206</v>
      </c>
      <c r="H121" s="702"/>
      <c r="I121" s="701">
        <v>2000</v>
      </c>
      <c r="J121" s="702">
        <v>1</v>
      </c>
      <c r="K121" s="703">
        <f t="shared" si="12"/>
        <v>2000</v>
      </c>
      <c r="L121" s="699"/>
    </row>
    <row r="122" spans="1:12" s="681" customFormat="1" ht="24.95" customHeight="1" outlineLevel="3">
      <c r="A122" s="696">
        <v>1</v>
      </c>
      <c r="B122" s="696" t="s">
        <v>2223</v>
      </c>
      <c r="C122" s="702" t="s">
        <v>374</v>
      </c>
      <c r="D122" s="699" t="s">
        <v>375</v>
      </c>
      <c r="E122" s="698" t="s">
        <v>2172</v>
      </c>
      <c r="F122" s="699" t="s">
        <v>1172</v>
      </c>
      <c r="G122" s="704" t="s">
        <v>2211</v>
      </c>
      <c r="H122" s="702"/>
      <c r="I122" s="701">
        <v>12000</v>
      </c>
      <c r="J122" s="702">
        <v>1</v>
      </c>
      <c r="K122" s="703">
        <f t="shared" si="12"/>
        <v>12000</v>
      </c>
      <c r="L122" s="699"/>
    </row>
    <row r="123" spans="1:12" s="681" customFormat="1" ht="24.95" customHeight="1" outlineLevel="1">
      <c r="A123" s="694"/>
      <c r="B123" s="694"/>
      <c r="C123" s="694"/>
      <c r="D123" s="717" t="s">
        <v>2224</v>
      </c>
      <c r="E123" s="690"/>
      <c r="F123" s="691"/>
      <c r="G123" s="691"/>
      <c r="H123" s="694"/>
      <c r="I123" s="693"/>
      <c r="J123" s="694"/>
      <c r="K123" s="695">
        <f>SUBTOTAL(9,K124:K126)</f>
        <v>30000</v>
      </c>
      <c r="L123" s="694"/>
    </row>
    <row r="124" spans="1:12" s="681" customFormat="1" ht="24.95" customHeight="1" outlineLevel="3">
      <c r="A124" s="702">
        <v>2</v>
      </c>
      <c r="B124" s="702" t="s">
        <v>2223</v>
      </c>
      <c r="C124" s="702" t="s">
        <v>379</v>
      </c>
      <c r="D124" s="704" t="s">
        <v>380</v>
      </c>
      <c r="E124" s="698" t="s">
        <v>2172</v>
      </c>
      <c r="F124" s="699" t="s">
        <v>1169</v>
      </c>
      <c r="G124" s="699" t="s">
        <v>2173</v>
      </c>
      <c r="H124" s="702"/>
      <c r="I124" s="701">
        <v>400</v>
      </c>
      <c r="J124" s="702">
        <v>40</v>
      </c>
      <c r="K124" s="703">
        <f t="shared" ref="K124:K126" si="13">I124*J124</f>
        <v>16000</v>
      </c>
      <c r="L124" s="702"/>
    </row>
    <row r="125" spans="1:12" s="681" customFormat="1" ht="24.95" customHeight="1" outlineLevel="3">
      <c r="A125" s="702">
        <v>2</v>
      </c>
      <c r="B125" s="702" t="s">
        <v>2223</v>
      </c>
      <c r="C125" s="702" t="s">
        <v>379</v>
      </c>
      <c r="D125" s="704" t="s">
        <v>380</v>
      </c>
      <c r="E125" s="698" t="s">
        <v>2172</v>
      </c>
      <c r="F125" s="699" t="s">
        <v>1169</v>
      </c>
      <c r="G125" s="704" t="s">
        <v>2206</v>
      </c>
      <c r="H125" s="702"/>
      <c r="I125" s="701">
        <v>2000</v>
      </c>
      <c r="J125" s="702">
        <v>1</v>
      </c>
      <c r="K125" s="703">
        <f t="shared" si="13"/>
        <v>2000</v>
      </c>
      <c r="L125" s="702"/>
    </row>
    <row r="126" spans="1:12" s="681" customFormat="1" ht="24.95" customHeight="1" outlineLevel="3">
      <c r="A126" s="702">
        <v>2</v>
      </c>
      <c r="B126" s="702" t="s">
        <v>2223</v>
      </c>
      <c r="C126" s="702" t="s">
        <v>379</v>
      </c>
      <c r="D126" s="704" t="s">
        <v>380</v>
      </c>
      <c r="E126" s="698" t="s">
        <v>2172</v>
      </c>
      <c r="F126" s="699" t="s">
        <v>1172</v>
      </c>
      <c r="G126" s="704" t="s">
        <v>2211</v>
      </c>
      <c r="H126" s="702"/>
      <c r="I126" s="701">
        <v>12000</v>
      </c>
      <c r="J126" s="702">
        <v>1</v>
      </c>
      <c r="K126" s="703">
        <f t="shared" si="13"/>
        <v>12000</v>
      </c>
      <c r="L126" s="702"/>
    </row>
    <row r="127" spans="1:12" s="681" customFormat="1" ht="24.95" customHeight="1" outlineLevel="1">
      <c r="A127" s="688"/>
      <c r="B127" s="688" t="s">
        <v>2225</v>
      </c>
      <c r="C127" s="694"/>
      <c r="D127" s="689"/>
      <c r="E127" s="690"/>
      <c r="F127" s="691"/>
      <c r="G127" s="691"/>
      <c r="H127" s="694"/>
      <c r="I127" s="693"/>
      <c r="J127" s="694"/>
      <c r="K127" s="695">
        <f>SUBTOTAL(9,K129:K138)</f>
        <v>104700</v>
      </c>
      <c r="L127" s="691"/>
    </row>
    <row r="128" spans="1:12" s="681" customFormat="1" ht="24.95" customHeight="1" outlineLevel="1">
      <c r="A128" s="688"/>
      <c r="B128" s="688"/>
      <c r="C128" s="694"/>
      <c r="D128" s="689" t="s">
        <v>2226</v>
      </c>
      <c r="E128" s="690"/>
      <c r="F128" s="691"/>
      <c r="G128" s="691"/>
      <c r="H128" s="694"/>
      <c r="I128" s="693"/>
      <c r="J128" s="694"/>
      <c r="K128" s="695">
        <f>SUBTOTAL(9,K129:K134)</f>
        <v>89200</v>
      </c>
      <c r="L128" s="691"/>
    </row>
    <row r="129" spans="1:12" s="681" customFormat="1" ht="24.95" customHeight="1" outlineLevel="3">
      <c r="A129" s="696">
        <v>1</v>
      </c>
      <c r="B129" s="696" t="s">
        <v>2227</v>
      </c>
      <c r="C129" s="702" t="s">
        <v>374</v>
      </c>
      <c r="D129" s="697" t="s">
        <v>2228</v>
      </c>
      <c r="E129" s="698" t="s">
        <v>2172</v>
      </c>
      <c r="F129" s="699" t="s">
        <v>1169</v>
      </c>
      <c r="G129" s="699" t="s">
        <v>2173</v>
      </c>
      <c r="H129" s="702"/>
      <c r="I129" s="701">
        <v>400</v>
      </c>
      <c r="J129" s="702">
        <v>90</v>
      </c>
      <c r="K129" s="703">
        <f t="shared" ref="K129:K134" si="14">I129*J129</f>
        <v>36000</v>
      </c>
      <c r="L129" s="699"/>
    </row>
    <row r="130" spans="1:12" s="681" customFormat="1" ht="24.95" customHeight="1" outlineLevel="3">
      <c r="A130" s="696">
        <v>1</v>
      </c>
      <c r="B130" s="696" t="s">
        <v>2227</v>
      </c>
      <c r="C130" s="702" t="s">
        <v>374</v>
      </c>
      <c r="D130" s="697" t="s">
        <v>2228</v>
      </c>
      <c r="E130" s="698" t="s">
        <v>2172</v>
      </c>
      <c r="F130" s="699" t="s">
        <v>1169</v>
      </c>
      <c r="G130" s="704" t="s">
        <v>1872</v>
      </c>
      <c r="H130" s="702"/>
      <c r="I130" s="701">
        <v>2000</v>
      </c>
      <c r="J130" s="702">
        <v>2</v>
      </c>
      <c r="K130" s="703">
        <f t="shared" si="14"/>
        <v>4000</v>
      </c>
      <c r="L130" s="699"/>
    </row>
    <row r="131" spans="1:12" s="681" customFormat="1" ht="24.95" customHeight="1" outlineLevel="3">
      <c r="A131" s="696">
        <v>1</v>
      </c>
      <c r="B131" s="696" t="s">
        <v>2227</v>
      </c>
      <c r="C131" s="702" t="s">
        <v>374</v>
      </c>
      <c r="D131" s="697" t="s">
        <v>2228</v>
      </c>
      <c r="E131" s="698" t="s">
        <v>2172</v>
      </c>
      <c r="F131" s="699" t="s">
        <v>1169</v>
      </c>
      <c r="G131" s="704" t="s">
        <v>2174</v>
      </c>
      <c r="H131" s="702"/>
      <c r="I131" s="701">
        <v>3500</v>
      </c>
      <c r="J131" s="702">
        <v>2</v>
      </c>
      <c r="K131" s="703">
        <f t="shared" si="14"/>
        <v>7000</v>
      </c>
      <c r="L131" s="699"/>
    </row>
    <row r="132" spans="1:12" s="681" customFormat="1" ht="24.95" customHeight="1" outlineLevel="3">
      <c r="A132" s="696">
        <v>1</v>
      </c>
      <c r="B132" s="696" t="s">
        <v>2227</v>
      </c>
      <c r="C132" s="702" t="s">
        <v>374</v>
      </c>
      <c r="D132" s="697" t="s">
        <v>2228</v>
      </c>
      <c r="E132" s="698" t="s">
        <v>2172</v>
      </c>
      <c r="F132" s="699" t="s">
        <v>1169</v>
      </c>
      <c r="G132" s="704" t="s">
        <v>2229</v>
      </c>
      <c r="H132" s="702"/>
      <c r="I132" s="701">
        <v>1100</v>
      </c>
      <c r="J132" s="702">
        <v>2</v>
      </c>
      <c r="K132" s="703">
        <f t="shared" si="14"/>
        <v>2200</v>
      </c>
      <c r="L132" s="699"/>
    </row>
    <row r="133" spans="1:12" s="681" customFormat="1" ht="24.95" customHeight="1" outlineLevel="3">
      <c r="A133" s="696">
        <v>1</v>
      </c>
      <c r="B133" s="696" t="s">
        <v>2227</v>
      </c>
      <c r="C133" s="702" t="s">
        <v>374</v>
      </c>
      <c r="D133" s="697" t="s">
        <v>2228</v>
      </c>
      <c r="E133" s="698" t="s">
        <v>2172</v>
      </c>
      <c r="F133" s="699" t="s">
        <v>1169</v>
      </c>
      <c r="G133" s="704" t="s">
        <v>2206</v>
      </c>
      <c r="H133" s="702"/>
      <c r="I133" s="701">
        <v>2000</v>
      </c>
      <c r="J133" s="702">
        <v>2</v>
      </c>
      <c r="K133" s="703">
        <f t="shared" si="14"/>
        <v>4000</v>
      </c>
      <c r="L133" s="699"/>
    </row>
    <row r="134" spans="1:12" s="681" customFormat="1" ht="24.95" customHeight="1" outlineLevel="3">
      <c r="A134" s="696">
        <v>1</v>
      </c>
      <c r="B134" s="696" t="s">
        <v>2227</v>
      </c>
      <c r="C134" s="702" t="s">
        <v>374</v>
      </c>
      <c r="D134" s="697" t="s">
        <v>2228</v>
      </c>
      <c r="E134" s="698" t="s">
        <v>2172</v>
      </c>
      <c r="F134" s="699" t="s">
        <v>1172</v>
      </c>
      <c r="G134" s="704" t="s">
        <v>2207</v>
      </c>
      <c r="H134" s="702"/>
      <c r="I134" s="701">
        <v>18000</v>
      </c>
      <c r="J134" s="702">
        <v>2</v>
      </c>
      <c r="K134" s="703">
        <f t="shared" si="14"/>
        <v>36000</v>
      </c>
      <c r="L134" s="699"/>
    </row>
    <row r="135" spans="1:12" s="681" customFormat="1" ht="24.95" customHeight="1" outlineLevel="1">
      <c r="A135" s="688"/>
      <c r="B135" s="688"/>
      <c r="C135" s="688"/>
      <c r="D135" s="689" t="s">
        <v>2230</v>
      </c>
      <c r="E135" s="690"/>
      <c r="F135" s="706"/>
      <c r="G135" s="707"/>
      <c r="H135" s="692"/>
      <c r="I135" s="708"/>
      <c r="J135" s="709"/>
      <c r="K135" s="695">
        <f>SUBTOTAL(9,K136:K138)</f>
        <v>15500</v>
      </c>
      <c r="L135" s="691"/>
    </row>
    <row r="136" spans="1:12" s="681" customFormat="1" ht="24.95" customHeight="1" outlineLevel="3">
      <c r="A136" s="696">
        <v>2</v>
      </c>
      <c r="B136" s="696" t="s">
        <v>2227</v>
      </c>
      <c r="C136" s="696" t="s">
        <v>382</v>
      </c>
      <c r="D136" s="697" t="s">
        <v>2231</v>
      </c>
      <c r="E136" s="698" t="s">
        <v>2172</v>
      </c>
      <c r="F136" s="710" t="s">
        <v>1169</v>
      </c>
      <c r="G136" s="705" t="s">
        <v>2178</v>
      </c>
      <c r="H136" s="700" t="s">
        <v>2179</v>
      </c>
      <c r="I136" s="711">
        <v>650</v>
      </c>
      <c r="J136" s="712">
        <v>5</v>
      </c>
      <c r="K136" s="703">
        <f t="shared" ref="K136:K138" si="15">I136*J136</f>
        <v>3250</v>
      </c>
      <c r="L136" s="699"/>
    </row>
    <row r="137" spans="1:12" s="681" customFormat="1" ht="24.95" customHeight="1" outlineLevel="3">
      <c r="A137" s="696">
        <v>2</v>
      </c>
      <c r="B137" s="696" t="s">
        <v>2227</v>
      </c>
      <c r="C137" s="696" t="s">
        <v>382</v>
      </c>
      <c r="D137" s="697" t="s">
        <v>2231</v>
      </c>
      <c r="E137" s="698" t="s">
        <v>2172</v>
      </c>
      <c r="F137" s="710" t="s">
        <v>1169</v>
      </c>
      <c r="G137" s="705" t="s">
        <v>2180</v>
      </c>
      <c r="H137" s="700" t="s">
        <v>2179</v>
      </c>
      <c r="I137" s="711">
        <v>650</v>
      </c>
      <c r="J137" s="712">
        <v>5</v>
      </c>
      <c r="K137" s="703">
        <f t="shared" si="15"/>
        <v>3250</v>
      </c>
      <c r="L137" s="699"/>
    </row>
    <row r="138" spans="1:12" s="681" customFormat="1" ht="24.95" customHeight="1" outlineLevel="3">
      <c r="A138" s="696">
        <v>2</v>
      </c>
      <c r="B138" s="696" t="s">
        <v>2227</v>
      </c>
      <c r="C138" s="696" t="s">
        <v>382</v>
      </c>
      <c r="D138" s="697" t="s">
        <v>2231</v>
      </c>
      <c r="E138" s="698" t="s">
        <v>2172</v>
      </c>
      <c r="F138" s="710" t="s">
        <v>2188</v>
      </c>
      <c r="G138" s="705" t="s">
        <v>2188</v>
      </c>
      <c r="H138" s="714" t="s">
        <v>2189</v>
      </c>
      <c r="I138" s="713">
        <v>9000</v>
      </c>
      <c r="J138" s="712">
        <v>1</v>
      </c>
      <c r="K138" s="703">
        <f t="shared" si="15"/>
        <v>9000</v>
      </c>
      <c r="L138" s="699"/>
    </row>
    <row r="139" spans="1:12" s="681" customFormat="1" ht="24.95" customHeight="1" outlineLevel="1">
      <c r="A139" s="694"/>
      <c r="B139" s="694" t="s">
        <v>763</v>
      </c>
      <c r="C139" s="694"/>
      <c r="D139" s="691"/>
      <c r="E139" s="690"/>
      <c r="F139" s="691"/>
      <c r="G139" s="691"/>
      <c r="H139" s="694"/>
      <c r="I139" s="693"/>
      <c r="J139" s="718"/>
      <c r="K139" s="695">
        <f>SUBTOTAL(9,K140:K170)</f>
        <v>313200</v>
      </c>
      <c r="L139" s="694"/>
    </row>
    <row r="140" spans="1:12" s="681" customFormat="1" ht="24.95" customHeight="1" outlineLevel="1">
      <c r="A140" s="694"/>
      <c r="B140" s="694"/>
      <c r="C140" s="694"/>
      <c r="D140" s="691" t="s">
        <v>2233</v>
      </c>
      <c r="E140" s="690"/>
      <c r="F140" s="691"/>
      <c r="G140" s="691"/>
      <c r="H140" s="694"/>
      <c r="I140" s="693"/>
      <c r="J140" s="694"/>
      <c r="K140" s="695">
        <f>SUBTOTAL(9,K141:K145)</f>
        <v>75000</v>
      </c>
      <c r="L140" s="694"/>
    </row>
    <row r="141" spans="1:12" s="681" customFormat="1" ht="24.95" customHeight="1" outlineLevel="3">
      <c r="A141" s="702">
        <v>2</v>
      </c>
      <c r="B141" s="702" t="s">
        <v>2232</v>
      </c>
      <c r="C141" s="702" t="s">
        <v>374</v>
      </c>
      <c r="D141" s="699" t="s">
        <v>308</v>
      </c>
      <c r="E141" s="698" t="s">
        <v>2172</v>
      </c>
      <c r="F141" s="699" t="s">
        <v>1169</v>
      </c>
      <c r="G141" s="699" t="s">
        <v>2173</v>
      </c>
      <c r="H141" s="702"/>
      <c r="I141" s="701">
        <v>400</v>
      </c>
      <c r="J141" s="702">
        <v>90</v>
      </c>
      <c r="K141" s="703">
        <f t="shared" ref="K141:K145" si="16">I141*J141</f>
        <v>36000</v>
      </c>
      <c r="L141" s="702"/>
    </row>
    <row r="142" spans="1:12" s="681" customFormat="1" ht="24.95" customHeight="1" outlineLevel="3">
      <c r="A142" s="702">
        <v>2</v>
      </c>
      <c r="B142" s="702" t="s">
        <v>2232</v>
      </c>
      <c r="C142" s="702" t="s">
        <v>374</v>
      </c>
      <c r="D142" s="699" t="s">
        <v>308</v>
      </c>
      <c r="E142" s="698" t="s">
        <v>2172</v>
      </c>
      <c r="F142" s="699" t="s">
        <v>1169</v>
      </c>
      <c r="G142" s="704" t="s">
        <v>1872</v>
      </c>
      <c r="H142" s="702"/>
      <c r="I142" s="701">
        <v>2000</v>
      </c>
      <c r="J142" s="702">
        <v>2</v>
      </c>
      <c r="K142" s="703">
        <f t="shared" si="16"/>
        <v>4000</v>
      </c>
      <c r="L142" s="702"/>
    </row>
    <row r="143" spans="1:12" s="681" customFormat="1" ht="24.95" customHeight="1" outlineLevel="3">
      <c r="A143" s="702">
        <v>2</v>
      </c>
      <c r="B143" s="702" t="s">
        <v>2232</v>
      </c>
      <c r="C143" s="702" t="s">
        <v>374</v>
      </c>
      <c r="D143" s="699" t="s">
        <v>308</v>
      </c>
      <c r="E143" s="698" t="s">
        <v>2172</v>
      </c>
      <c r="F143" s="699" t="s">
        <v>1169</v>
      </c>
      <c r="G143" s="704" t="s">
        <v>2174</v>
      </c>
      <c r="H143" s="702"/>
      <c r="I143" s="701">
        <v>3500</v>
      </c>
      <c r="J143" s="702">
        <v>2</v>
      </c>
      <c r="K143" s="703">
        <f t="shared" si="16"/>
        <v>7000</v>
      </c>
      <c r="L143" s="702"/>
    </row>
    <row r="144" spans="1:12" s="681" customFormat="1" ht="24.95" customHeight="1" outlineLevel="3">
      <c r="A144" s="702">
        <v>2</v>
      </c>
      <c r="B144" s="702" t="s">
        <v>2232</v>
      </c>
      <c r="C144" s="702" t="s">
        <v>374</v>
      </c>
      <c r="D144" s="699" t="s">
        <v>308</v>
      </c>
      <c r="E144" s="698" t="s">
        <v>2172</v>
      </c>
      <c r="F144" s="699" t="s">
        <v>1169</v>
      </c>
      <c r="G144" s="704" t="s">
        <v>2206</v>
      </c>
      <c r="H144" s="702"/>
      <c r="I144" s="701">
        <v>2000</v>
      </c>
      <c r="J144" s="702">
        <v>2</v>
      </c>
      <c r="K144" s="703">
        <f t="shared" si="16"/>
        <v>4000</v>
      </c>
      <c r="L144" s="702"/>
    </row>
    <row r="145" spans="1:12" s="681" customFormat="1" ht="24.95" customHeight="1" outlineLevel="3">
      <c r="A145" s="702">
        <v>2</v>
      </c>
      <c r="B145" s="702" t="s">
        <v>2232</v>
      </c>
      <c r="C145" s="702" t="s">
        <v>374</v>
      </c>
      <c r="D145" s="699" t="s">
        <v>308</v>
      </c>
      <c r="E145" s="698" t="s">
        <v>2172</v>
      </c>
      <c r="F145" s="699" t="s">
        <v>1172</v>
      </c>
      <c r="G145" s="704" t="s">
        <v>2211</v>
      </c>
      <c r="H145" s="702"/>
      <c r="I145" s="701">
        <v>12000</v>
      </c>
      <c r="J145" s="702">
        <v>2</v>
      </c>
      <c r="K145" s="703">
        <f t="shared" si="16"/>
        <v>24000</v>
      </c>
      <c r="L145" s="702"/>
    </row>
    <row r="146" spans="1:12" s="681" customFormat="1" ht="24.95" customHeight="1" outlineLevel="1">
      <c r="A146" s="694"/>
      <c r="B146" s="694"/>
      <c r="C146" s="694"/>
      <c r="D146" s="691" t="s">
        <v>2234</v>
      </c>
      <c r="E146" s="690"/>
      <c r="F146" s="691"/>
      <c r="G146" s="691"/>
      <c r="H146" s="694"/>
      <c r="I146" s="693"/>
      <c r="J146" s="694"/>
      <c r="K146" s="695">
        <f>SUBTOTAL(9,K147:K151)</f>
        <v>42600</v>
      </c>
      <c r="L146" s="694"/>
    </row>
    <row r="147" spans="1:12" s="681" customFormat="1" ht="24.95" customHeight="1" outlineLevel="3">
      <c r="A147" s="702">
        <v>3</v>
      </c>
      <c r="B147" s="702" t="s">
        <v>2232</v>
      </c>
      <c r="C147" s="702" t="s">
        <v>374</v>
      </c>
      <c r="D147" s="699" t="s">
        <v>413</v>
      </c>
      <c r="E147" s="698" t="s">
        <v>2172</v>
      </c>
      <c r="F147" s="699" t="s">
        <v>1169</v>
      </c>
      <c r="G147" s="699" t="s">
        <v>2173</v>
      </c>
      <c r="H147" s="702"/>
      <c r="I147" s="701">
        <v>400</v>
      </c>
      <c r="J147" s="702">
        <v>45</v>
      </c>
      <c r="K147" s="703">
        <f t="shared" ref="K147:K151" si="17">I147*J147</f>
        <v>18000</v>
      </c>
      <c r="L147" s="702"/>
    </row>
    <row r="148" spans="1:12" s="681" customFormat="1" ht="24.95" customHeight="1" outlineLevel="3">
      <c r="A148" s="702">
        <v>3</v>
      </c>
      <c r="B148" s="702" t="s">
        <v>2232</v>
      </c>
      <c r="C148" s="702" t="s">
        <v>374</v>
      </c>
      <c r="D148" s="699" t="s">
        <v>413</v>
      </c>
      <c r="E148" s="698" t="s">
        <v>2172</v>
      </c>
      <c r="F148" s="699" t="s">
        <v>1169</v>
      </c>
      <c r="G148" s="704" t="s">
        <v>1872</v>
      </c>
      <c r="H148" s="702"/>
      <c r="I148" s="701">
        <v>2000</v>
      </c>
      <c r="J148" s="702">
        <v>1</v>
      </c>
      <c r="K148" s="703">
        <f t="shared" si="17"/>
        <v>2000</v>
      </c>
      <c r="L148" s="702"/>
    </row>
    <row r="149" spans="1:12" s="681" customFormat="1" ht="24.95" customHeight="1" outlineLevel="3">
      <c r="A149" s="702">
        <v>3</v>
      </c>
      <c r="B149" s="702" t="s">
        <v>2232</v>
      </c>
      <c r="C149" s="702" t="s">
        <v>374</v>
      </c>
      <c r="D149" s="699" t="s">
        <v>413</v>
      </c>
      <c r="E149" s="698" t="s">
        <v>2172</v>
      </c>
      <c r="F149" s="699" t="s">
        <v>1169</v>
      </c>
      <c r="G149" s="704" t="s">
        <v>2174</v>
      </c>
      <c r="H149" s="702"/>
      <c r="I149" s="701">
        <v>3500</v>
      </c>
      <c r="J149" s="702">
        <v>1</v>
      </c>
      <c r="K149" s="703">
        <f t="shared" si="17"/>
        <v>3500</v>
      </c>
      <c r="L149" s="702"/>
    </row>
    <row r="150" spans="1:12" s="681" customFormat="1" ht="24.95" customHeight="1" outlineLevel="3">
      <c r="A150" s="702">
        <v>3</v>
      </c>
      <c r="B150" s="702" t="s">
        <v>2232</v>
      </c>
      <c r="C150" s="702" t="s">
        <v>374</v>
      </c>
      <c r="D150" s="699" t="s">
        <v>413</v>
      </c>
      <c r="E150" s="698" t="s">
        <v>2172</v>
      </c>
      <c r="F150" s="699" t="s">
        <v>1169</v>
      </c>
      <c r="G150" s="704" t="s">
        <v>2229</v>
      </c>
      <c r="H150" s="702"/>
      <c r="I150" s="701">
        <v>1100</v>
      </c>
      <c r="J150" s="702">
        <v>1</v>
      </c>
      <c r="K150" s="703">
        <f t="shared" si="17"/>
        <v>1100</v>
      </c>
      <c r="L150" s="702"/>
    </row>
    <row r="151" spans="1:12" s="681" customFormat="1" ht="24.95" customHeight="1" outlineLevel="3">
      <c r="A151" s="702">
        <v>3</v>
      </c>
      <c r="B151" s="702" t="s">
        <v>2232</v>
      </c>
      <c r="C151" s="702" t="s">
        <v>374</v>
      </c>
      <c r="D151" s="699" t="s">
        <v>413</v>
      </c>
      <c r="E151" s="698" t="s">
        <v>2172</v>
      </c>
      <c r="F151" s="699" t="s">
        <v>1172</v>
      </c>
      <c r="G151" s="704" t="s">
        <v>2175</v>
      </c>
      <c r="H151" s="702"/>
      <c r="I151" s="701">
        <v>18000</v>
      </c>
      <c r="J151" s="702">
        <v>1</v>
      </c>
      <c r="K151" s="703">
        <f t="shared" si="17"/>
        <v>18000</v>
      </c>
      <c r="L151" s="702"/>
    </row>
    <row r="152" spans="1:12" s="681" customFormat="1" ht="24.95" customHeight="1" outlineLevel="1">
      <c r="A152" s="688"/>
      <c r="B152" s="688"/>
      <c r="C152" s="688"/>
      <c r="D152" s="689" t="s">
        <v>2235</v>
      </c>
      <c r="E152" s="690"/>
      <c r="F152" s="706"/>
      <c r="G152" s="707"/>
      <c r="H152" s="719"/>
      <c r="I152" s="720"/>
      <c r="J152" s="709"/>
      <c r="K152" s="695">
        <f>SUBTOTAL(9,K153:K157)</f>
        <v>36200</v>
      </c>
      <c r="L152" s="691"/>
    </row>
    <row r="153" spans="1:12" s="681" customFormat="1" ht="24.95" customHeight="1" outlineLevel="3">
      <c r="A153" s="696">
        <v>4</v>
      </c>
      <c r="B153" s="696" t="s">
        <v>2232</v>
      </c>
      <c r="C153" s="696" t="s">
        <v>382</v>
      </c>
      <c r="D153" s="697" t="s">
        <v>2236</v>
      </c>
      <c r="E153" s="698" t="s">
        <v>2172</v>
      </c>
      <c r="F153" s="710" t="s">
        <v>2188</v>
      </c>
      <c r="G153" s="705" t="s">
        <v>2188</v>
      </c>
      <c r="H153" s="714" t="s">
        <v>2189</v>
      </c>
      <c r="I153" s="713">
        <v>9000</v>
      </c>
      <c r="J153" s="712">
        <v>1</v>
      </c>
      <c r="K153" s="703">
        <f t="shared" ref="K153:K157" si="18">I153*J153</f>
        <v>9000</v>
      </c>
      <c r="L153" s="699"/>
    </row>
    <row r="154" spans="1:12" s="681" customFormat="1" ht="24.95" customHeight="1" outlineLevel="3">
      <c r="A154" s="696">
        <v>4</v>
      </c>
      <c r="B154" s="696" t="s">
        <v>2232</v>
      </c>
      <c r="C154" s="696" t="s">
        <v>382</v>
      </c>
      <c r="D154" s="697" t="s">
        <v>2236</v>
      </c>
      <c r="E154" s="698" t="s">
        <v>2172</v>
      </c>
      <c r="F154" s="705" t="s">
        <v>2190</v>
      </c>
      <c r="G154" s="705" t="s">
        <v>2191</v>
      </c>
      <c r="H154" s="705"/>
      <c r="I154" s="711">
        <v>7300</v>
      </c>
      <c r="J154" s="712">
        <v>2</v>
      </c>
      <c r="K154" s="703">
        <f t="shared" si="18"/>
        <v>14600</v>
      </c>
      <c r="L154" s="699"/>
    </row>
    <row r="155" spans="1:12" s="681" customFormat="1" ht="24.95" customHeight="1" outlineLevel="3">
      <c r="A155" s="696">
        <v>4</v>
      </c>
      <c r="B155" s="696" t="s">
        <v>2232</v>
      </c>
      <c r="C155" s="696" t="s">
        <v>382</v>
      </c>
      <c r="D155" s="697" t="s">
        <v>2236</v>
      </c>
      <c r="E155" s="698" t="s">
        <v>2172</v>
      </c>
      <c r="F155" s="715" t="s">
        <v>1172</v>
      </c>
      <c r="G155" s="705" t="s">
        <v>2193</v>
      </c>
      <c r="H155" s="705"/>
      <c r="I155" s="713">
        <v>10000</v>
      </c>
      <c r="J155" s="712">
        <v>1</v>
      </c>
      <c r="K155" s="703">
        <f t="shared" si="18"/>
        <v>10000</v>
      </c>
      <c r="L155" s="699"/>
    </row>
    <row r="156" spans="1:12" s="681" customFormat="1" ht="24.95" customHeight="1" outlineLevel="3">
      <c r="A156" s="696">
        <v>4</v>
      </c>
      <c r="B156" s="696" t="s">
        <v>2232</v>
      </c>
      <c r="C156" s="696" t="s">
        <v>382</v>
      </c>
      <c r="D156" s="697" t="s">
        <v>2236</v>
      </c>
      <c r="E156" s="698" t="s">
        <v>2172</v>
      </c>
      <c r="F156" s="705" t="s">
        <v>2194</v>
      </c>
      <c r="G156" s="705" t="s">
        <v>2194</v>
      </c>
      <c r="H156" s="705"/>
      <c r="I156" s="713">
        <v>1200</v>
      </c>
      <c r="J156" s="712">
        <v>1</v>
      </c>
      <c r="K156" s="703">
        <f t="shared" si="18"/>
        <v>1200</v>
      </c>
      <c r="L156" s="699"/>
    </row>
    <row r="157" spans="1:12" s="681" customFormat="1" ht="24.95" customHeight="1" outlineLevel="3">
      <c r="A157" s="696">
        <v>4</v>
      </c>
      <c r="B157" s="696" t="s">
        <v>2232</v>
      </c>
      <c r="C157" s="696" t="s">
        <v>382</v>
      </c>
      <c r="D157" s="697" t="s">
        <v>2236</v>
      </c>
      <c r="E157" s="698" t="s">
        <v>2172</v>
      </c>
      <c r="F157" s="705" t="s">
        <v>2195</v>
      </c>
      <c r="G157" s="705" t="s">
        <v>2195</v>
      </c>
      <c r="H157" s="705"/>
      <c r="I157" s="713">
        <v>1400</v>
      </c>
      <c r="J157" s="712">
        <v>1</v>
      </c>
      <c r="K157" s="703">
        <f t="shared" si="18"/>
        <v>1400</v>
      </c>
      <c r="L157" s="699"/>
    </row>
    <row r="158" spans="1:12" s="681" customFormat="1" ht="24.95" customHeight="1" outlineLevel="1">
      <c r="A158" s="688"/>
      <c r="B158" s="688"/>
      <c r="C158" s="688"/>
      <c r="D158" s="689" t="s">
        <v>2237</v>
      </c>
      <c r="E158" s="690"/>
      <c r="F158" s="706"/>
      <c r="G158" s="707"/>
      <c r="H158" s="692"/>
      <c r="I158" s="708"/>
      <c r="J158" s="709"/>
      <c r="K158" s="695">
        <f>SUBTOTAL(9,K159:K170)</f>
        <v>159400</v>
      </c>
      <c r="L158" s="691"/>
    </row>
    <row r="159" spans="1:12" s="681" customFormat="1" ht="24.95" customHeight="1" outlineLevel="3">
      <c r="A159" s="696">
        <v>5</v>
      </c>
      <c r="B159" s="696" t="s">
        <v>2232</v>
      </c>
      <c r="C159" s="696" t="s">
        <v>382</v>
      </c>
      <c r="D159" s="697" t="s">
        <v>648</v>
      </c>
      <c r="E159" s="698" t="s">
        <v>2172</v>
      </c>
      <c r="F159" s="710" t="s">
        <v>1169</v>
      </c>
      <c r="G159" s="705" t="s">
        <v>2178</v>
      </c>
      <c r="H159" s="700" t="s">
        <v>2179</v>
      </c>
      <c r="I159" s="711">
        <v>650</v>
      </c>
      <c r="J159" s="712">
        <v>10</v>
      </c>
      <c r="K159" s="703">
        <f t="shared" ref="K159:K170" si="19">I159*J159</f>
        <v>6500</v>
      </c>
      <c r="L159" s="699"/>
    </row>
    <row r="160" spans="1:12" s="681" customFormat="1" ht="24.95" customHeight="1" outlineLevel="3">
      <c r="A160" s="696">
        <v>5</v>
      </c>
      <c r="B160" s="696" t="s">
        <v>2232</v>
      </c>
      <c r="C160" s="696" t="s">
        <v>382</v>
      </c>
      <c r="D160" s="697" t="s">
        <v>648</v>
      </c>
      <c r="E160" s="698" t="s">
        <v>2172</v>
      </c>
      <c r="F160" s="710" t="s">
        <v>1169</v>
      </c>
      <c r="G160" s="705" t="s">
        <v>2180</v>
      </c>
      <c r="H160" s="700" t="s">
        <v>2179</v>
      </c>
      <c r="I160" s="711">
        <v>650</v>
      </c>
      <c r="J160" s="712">
        <v>10</v>
      </c>
      <c r="K160" s="703">
        <f t="shared" si="19"/>
        <v>6500</v>
      </c>
      <c r="L160" s="699"/>
    </row>
    <row r="161" spans="1:12" s="681" customFormat="1" ht="24.95" customHeight="1" outlineLevel="3">
      <c r="A161" s="696">
        <v>5</v>
      </c>
      <c r="B161" s="696" t="s">
        <v>2232</v>
      </c>
      <c r="C161" s="696" t="s">
        <v>382</v>
      </c>
      <c r="D161" s="697" t="s">
        <v>648</v>
      </c>
      <c r="E161" s="698" t="s">
        <v>2172</v>
      </c>
      <c r="F161" s="710" t="s">
        <v>1169</v>
      </c>
      <c r="G161" s="705" t="s">
        <v>2215</v>
      </c>
      <c r="H161" s="705" t="s">
        <v>2216</v>
      </c>
      <c r="I161" s="711">
        <v>380</v>
      </c>
      <c r="J161" s="712">
        <v>60</v>
      </c>
      <c r="K161" s="703">
        <f t="shared" si="19"/>
        <v>22800</v>
      </c>
      <c r="L161" s="699"/>
    </row>
    <row r="162" spans="1:12" s="681" customFormat="1" ht="24.95" customHeight="1" outlineLevel="3">
      <c r="A162" s="696">
        <v>5</v>
      </c>
      <c r="B162" s="696" t="s">
        <v>2232</v>
      </c>
      <c r="C162" s="696" t="s">
        <v>382</v>
      </c>
      <c r="D162" s="697" t="s">
        <v>648</v>
      </c>
      <c r="E162" s="698" t="s">
        <v>2172</v>
      </c>
      <c r="F162" s="710" t="s">
        <v>1169</v>
      </c>
      <c r="G162" s="705" t="s">
        <v>2181</v>
      </c>
      <c r="H162" s="705" t="s">
        <v>2182</v>
      </c>
      <c r="I162" s="713">
        <v>2400</v>
      </c>
      <c r="J162" s="712">
        <v>2</v>
      </c>
      <c r="K162" s="703">
        <f t="shared" si="19"/>
        <v>4800</v>
      </c>
      <c r="L162" s="699"/>
    </row>
    <row r="163" spans="1:12" s="681" customFormat="1" ht="24.95" customHeight="1" outlineLevel="3">
      <c r="A163" s="696">
        <v>5</v>
      </c>
      <c r="B163" s="696" t="s">
        <v>2232</v>
      </c>
      <c r="C163" s="696" t="s">
        <v>382</v>
      </c>
      <c r="D163" s="697" t="s">
        <v>648</v>
      </c>
      <c r="E163" s="698" t="s">
        <v>2172</v>
      </c>
      <c r="F163" s="710" t="s">
        <v>1169</v>
      </c>
      <c r="G163" s="705" t="s">
        <v>2183</v>
      </c>
      <c r="H163" s="705" t="s">
        <v>2184</v>
      </c>
      <c r="I163" s="711">
        <v>700</v>
      </c>
      <c r="J163" s="712">
        <v>2</v>
      </c>
      <c r="K163" s="703">
        <f t="shared" si="19"/>
        <v>1400</v>
      </c>
      <c r="L163" s="699"/>
    </row>
    <row r="164" spans="1:12" s="681" customFormat="1" ht="24.95" customHeight="1" outlineLevel="3">
      <c r="A164" s="696">
        <v>5</v>
      </c>
      <c r="B164" s="696" t="s">
        <v>2232</v>
      </c>
      <c r="C164" s="696" t="s">
        <v>382</v>
      </c>
      <c r="D164" s="697" t="s">
        <v>648</v>
      </c>
      <c r="E164" s="698" t="s">
        <v>2172</v>
      </c>
      <c r="F164" s="710" t="s">
        <v>1169</v>
      </c>
      <c r="G164" s="705" t="s">
        <v>2185</v>
      </c>
      <c r="H164" s="705" t="s">
        <v>2186</v>
      </c>
      <c r="I164" s="711">
        <v>6000</v>
      </c>
      <c r="J164" s="712">
        <v>2</v>
      </c>
      <c r="K164" s="703">
        <f t="shared" si="19"/>
        <v>12000</v>
      </c>
      <c r="L164" s="699"/>
    </row>
    <row r="165" spans="1:12" s="681" customFormat="1" ht="24.95" customHeight="1" outlineLevel="3">
      <c r="A165" s="696">
        <v>5</v>
      </c>
      <c r="B165" s="696" t="s">
        <v>2232</v>
      </c>
      <c r="C165" s="696" t="s">
        <v>382</v>
      </c>
      <c r="D165" s="697" t="s">
        <v>648</v>
      </c>
      <c r="E165" s="698" t="s">
        <v>2172</v>
      </c>
      <c r="F165" s="710" t="s">
        <v>1175</v>
      </c>
      <c r="G165" s="705" t="s">
        <v>1175</v>
      </c>
      <c r="H165" s="705" t="s">
        <v>2187</v>
      </c>
      <c r="I165" s="711">
        <v>13000</v>
      </c>
      <c r="J165" s="712">
        <v>2</v>
      </c>
      <c r="K165" s="703">
        <f t="shared" si="19"/>
        <v>26000</v>
      </c>
      <c r="L165" s="699"/>
    </row>
    <row r="166" spans="1:12" s="681" customFormat="1" ht="24.95" customHeight="1" outlineLevel="3">
      <c r="A166" s="696">
        <v>5</v>
      </c>
      <c r="B166" s="696" t="s">
        <v>2232</v>
      </c>
      <c r="C166" s="696" t="s">
        <v>382</v>
      </c>
      <c r="D166" s="697" t="s">
        <v>648</v>
      </c>
      <c r="E166" s="698" t="s">
        <v>2172</v>
      </c>
      <c r="F166" s="710" t="s">
        <v>2188</v>
      </c>
      <c r="G166" s="705" t="s">
        <v>2188</v>
      </c>
      <c r="H166" s="714" t="s">
        <v>2189</v>
      </c>
      <c r="I166" s="713">
        <v>9000</v>
      </c>
      <c r="J166" s="712">
        <v>2</v>
      </c>
      <c r="K166" s="703">
        <f t="shared" si="19"/>
        <v>18000</v>
      </c>
      <c r="L166" s="699"/>
    </row>
    <row r="167" spans="1:12" s="681" customFormat="1" ht="24.95" customHeight="1" outlineLevel="3">
      <c r="A167" s="696">
        <v>5</v>
      </c>
      <c r="B167" s="696" t="s">
        <v>2232</v>
      </c>
      <c r="C167" s="696" t="s">
        <v>382</v>
      </c>
      <c r="D167" s="697" t="s">
        <v>648</v>
      </c>
      <c r="E167" s="698" t="s">
        <v>2172</v>
      </c>
      <c r="F167" s="705" t="s">
        <v>2190</v>
      </c>
      <c r="G167" s="705" t="s">
        <v>2191</v>
      </c>
      <c r="H167" s="705"/>
      <c r="I167" s="711">
        <v>7300</v>
      </c>
      <c r="J167" s="712">
        <v>2</v>
      </c>
      <c r="K167" s="703">
        <f t="shared" si="19"/>
        <v>14600</v>
      </c>
      <c r="L167" s="699"/>
    </row>
    <row r="168" spans="1:12" s="681" customFormat="1" ht="24.95" customHeight="1" outlineLevel="3">
      <c r="A168" s="696">
        <v>5</v>
      </c>
      <c r="B168" s="696" t="s">
        <v>2232</v>
      </c>
      <c r="C168" s="696" t="s">
        <v>382</v>
      </c>
      <c r="D168" s="697" t="s">
        <v>648</v>
      </c>
      <c r="E168" s="698" t="s">
        <v>2172</v>
      </c>
      <c r="F168" s="705" t="s">
        <v>2190</v>
      </c>
      <c r="G168" s="705" t="s">
        <v>2192</v>
      </c>
      <c r="H168" s="705"/>
      <c r="I168" s="711">
        <v>12000</v>
      </c>
      <c r="J168" s="712">
        <v>2</v>
      </c>
      <c r="K168" s="703">
        <f t="shared" si="19"/>
        <v>24000</v>
      </c>
      <c r="L168" s="699"/>
    </row>
    <row r="169" spans="1:12" s="681" customFormat="1" ht="24.95" customHeight="1" outlineLevel="3">
      <c r="A169" s="696">
        <v>5</v>
      </c>
      <c r="B169" s="696" t="s">
        <v>2232</v>
      </c>
      <c r="C169" s="696" t="s">
        <v>382</v>
      </c>
      <c r="D169" s="697" t="s">
        <v>648</v>
      </c>
      <c r="E169" s="698" t="s">
        <v>2172</v>
      </c>
      <c r="F169" s="715" t="s">
        <v>1172</v>
      </c>
      <c r="G169" s="705" t="s">
        <v>2193</v>
      </c>
      <c r="H169" s="705"/>
      <c r="I169" s="713">
        <v>10000</v>
      </c>
      <c r="J169" s="712">
        <v>2</v>
      </c>
      <c r="K169" s="703">
        <f t="shared" si="19"/>
        <v>20000</v>
      </c>
      <c r="L169" s="699"/>
    </row>
    <row r="170" spans="1:12" s="681" customFormat="1" ht="24.95" customHeight="1" outlineLevel="3">
      <c r="A170" s="696">
        <v>5</v>
      </c>
      <c r="B170" s="696" t="s">
        <v>2232</v>
      </c>
      <c r="C170" s="696" t="s">
        <v>382</v>
      </c>
      <c r="D170" s="697" t="s">
        <v>648</v>
      </c>
      <c r="E170" s="698" t="s">
        <v>2172</v>
      </c>
      <c r="F170" s="705" t="s">
        <v>2195</v>
      </c>
      <c r="G170" s="705" t="s">
        <v>2195</v>
      </c>
      <c r="H170" s="705"/>
      <c r="I170" s="713">
        <v>1400</v>
      </c>
      <c r="J170" s="712">
        <v>2</v>
      </c>
      <c r="K170" s="703">
        <f t="shared" si="19"/>
        <v>2800</v>
      </c>
      <c r="L170" s="699"/>
    </row>
    <row r="171" spans="1:12" s="681" customFormat="1" ht="24.95" customHeight="1" outlineLevel="1">
      <c r="A171" s="694"/>
      <c r="B171" s="694" t="s">
        <v>743</v>
      </c>
      <c r="C171" s="694"/>
      <c r="D171" s="691"/>
      <c r="E171" s="690"/>
      <c r="F171" s="691"/>
      <c r="G171" s="691"/>
      <c r="H171" s="694"/>
      <c r="I171" s="693"/>
      <c r="J171" s="718"/>
      <c r="K171" s="695">
        <f>SUBTOTAL(9,K173:K316)</f>
        <v>2720100</v>
      </c>
      <c r="L171" s="694"/>
    </row>
    <row r="172" spans="1:12" s="681" customFormat="1" ht="24.95" customHeight="1" outlineLevel="1">
      <c r="A172" s="694"/>
      <c r="B172" s="694"/>
      <c r="C172" s="694"/>
      <c r="D172" s="691" t="s">
        <v>2238</v>
      </c>
      <c r="E172" s="690"/>
      <c r="F172" s="691"/>
      <c r="G172" s="691"/>
      <c r="H172" s="694"/>
      <c r="I172" s="693"/>
      <c r="J172" s="718"/>
      <c r="K172" s="695">
        <f>SUBTOTAL(9,K173:K179)</f>
        <v>579300</v>
      </c>
      <c r="L172" s="694"/>
    </row>
    <row r="173" spans="1:12" s="681" customFormat="1" ht="24.95" customHeight="1" outlineLevel="3">
      <c r="A173" s="702">
        <v>1</v>
      </c>
      <c r="B173" s="702" t="s">
        <v>1825</v>
      </c>
      <c r="C173" s="702" t="s">
        <v>1354</v>
      </c>
      <c r="D173" s="699" t="s">
        <v>421</v>
      </c>
      <c r="E173" s="698" t="s">
        <v>2172</v>
      </c>
      <c r="F173" s="699" t="s">
        <v>1169</v>
      </c>
      <c r="G173" s="699" t="s">
        <v>2173</v>
      </c>
      <c r="H173" s="702"/>
      <c r="I173" s="701">
        <v>400</v>
      </c>
      <c r="J173" s="721">
        <v>380</v>
      </c>
      <c r="K173" s="703">
        <f t="shared" ref="K173:K179" si="20">I173*J173</f>
        <v>152000</v>
      </c>
      <c r="L173" s="702"/>
    </row>
    <row r="174" spans="1:12" s="681" customFormat="1" ht="24.95" customHeight="1" outlineLevel="3">
      <c r="A174" s="702">
        <v>1</v>
      </c>
      <c r="B174" s="702" t="s">
        <v>1825</v>
      </c>
      <c r="C174" s="702" t="s">
        <v>1354</v>
      </c>
      <c r="D174" s="699" t="s">
        <v>421</v>
      </c>
      <c r="E174" s="698" t="s">
        <v>2172</v>
      </c>
      <c r="F174" s="699" t="s">
        <v>1169</v>
      </c>
      <c r="G174" s="704" t="s">
        <v>1872</v>
      </c>
      <c r="H174" s="702"/>
      <c r="I174" s="701">
        <v>2000</v>
      </c>
      <c r="J174" s="721">
        <v>9</v>
      </c>
      <c r="K174" s="703">
        <f t="shared" si="20"/>
        <v>18000</v>
      </c>
      <c r="L174" s="702"/>
    </row>
    <row r="175" spans="1:12" s="681" customFormat="1" ht="24.95" customHeight="1" outlineLevel="3">
      <c r="A175" s="702">
        <v>1</v>
      </c>
      <c r="B175" s="702" t="s">
        <v>1825</v>
      </c>
      <c r="C175" s="702" t="s">
        <v>1354</v>
      </c>
      <c r="D175" s="699" t="s">
        <v>421</v>
      </c>
      <c r="E175" s="698" t="s">
        <v>2172</v>
      </c>
      <c r="F175" s="699" t="s">
        <v>1169</v>
      </c>
      <c r="G175" s="704" t="s">
        <v>2174</v>
      </c>
      <c r="H175" s="702"/>
      <c r="I175" s="701">
        <v>3500</v>
      </c>
      <c r="J175" s="721">
        <v>9</v>
      </c>
      <c r="K175" s="703">
        <f t="shared" si="20"/>
        <v>31500</v>
      </c>
      <c r="L175" s="702"/>
    </row>
    <row r="176" spans="1:12" s="681" customFormat="1" ht="24.95" customHeight="1" outlineLevel="3">
      <c r="A176" s="702">
        <v>1</v>
      </c>
      <c r="B176" s="702" t="s">
        <v>1825</v>
      </c>
      <c r="C176" s="702" t="s">
        <v>1354</v>
      </c>
      <c r="D176" s="699" t="s">
        <v>421</v>
      </c>
      <c r="E176" s="698" t="s">
        <v>2172</v>
      </c>
      <c r="F176" s="699" t="s">
        <v>1169</v>
      </c>
      <c r="G176" s="704" t="s">
        <v>2198</v>
      </c>
      <c r="H176" s="702"/>
      <c r="I176" s="701">
        <v>1600</v>
      </c>
      <c r="J176" s="721">
        <v>31</v>
      </c>
      <c r="K176" s="703">
        <f t="shared" si="20"/>
        <v>49600</v>
      </c>
      <c r="L176" s="702"/>
    </row>
    <row r="177" spans="1:12" s="681" customFormat="1" ht="24.95" customHeight="1" outlineLevel="3">
      <c r="A177" s="702">
        <v>1</v>
      </c>
      <c r="B177" s="702" t="s">
        <v>1825</v>
      </c>
      <c r="C177" s="702" t="s">
        <v>1354</v>
      </c>
      <c r="D177" s="699" t="s">
        <v>421</v>
      </c>
      <c r="E177" s="698" t="s">
        <v>2172</v>
      </c>
      <c r="F177" s="699" t="s">
        <v>1169</v>
      </c>
      <c r="G177" s="704" t="s">
        <v>2199</v>
      </c>
      <c r="H177" s="702"/>
      <c r="I177" s="701">
        <v>700</v>
      </c>
      <c r="J177" s="721">
        <v>16</v>
      </c>
      <c r="K177" s="703">
        <f t="shared" si="20"/>
        <v>11200</v>
      </c>
      <c r="L177" s="702"/>
    </row>
    <row r="178" spans="1:12" s="681" customFormat="1" ht="24.95" customHeight="1" outlineLevel="3">
      <c r="A178" s="702">
        <v>1</v>
      </c>
      <c r="B178" s="702" t="s">
        <v>1825</v>
      </c>
      <c r="C178" s="702" t="s">
        <v>1354</v>
      </c>
      <c r="D178" s="699" t="s">
        <v>421</v>
      </c>
      <c r="E178" s="698" t="s">
        <v>2172</v>
      </c>
      <c r="F178" s="699" t="s">
        <v>1172</v>
      </c>
      <c r="G178" s="704" t="s">
        <v>2175</v>
      </c>
      <c r="H178" s="702"/>
      <c r="I178" s="701">
        <v>18000</v>
      </c>
      <c r="J178" s="721">
        <v>9</v>
      </c>
      <c r="K178" s="703">
        <f t="shared" si="20"/>
        <v>162000</v>
      </c>
      <c r="L178" s="702"/>
    </row>
    <row r="179" spans="1:12" s="681" customFormat="1" ht="24.95" customHeight="1" outlineLevel="3">
      <c r="A179" s="702">
        <v>1</v>
      </c>
      <c r="B179" s="702" t="s">
        <v>1825</v>
      </c>
      <c r="C179" s="702" t="s">
        <v>1354</v>
      </c>
      <c r="D179" s="699" t="s">
        <v>421</v>
      </c>
      <c r="E179" s="698" t="s">
        <v>2172</v>
      </c>
      <c r="F179" s="710" t="s">
        <v>2200</v>
      </c>
      <c r="G179" s="704" t="s">
        <v>2201</v>
      </c>
      <c r="H179" s="702"/>
      <c r="I179" s="701">
        <v>5000</v>
      </c>
      <c r="J179" s="721">
        <v>31</v>
      </c>
      <c r="K179" s="703">
        <f t="shared" si="20"/>
        <v>155000</v>
      </c>
      <c r="L179" s="702"/>
    </row>
    <row r="180" spans="1:12" s="681" customFormat="1" ht="24.95" customHeight="1" outlineLevel="1">
      <c r="A180" s="694"/>
      <c r="B180" s="694"/>
      <c r="C180" s="694"/>
      <c r="D180" s="691" t="s">
        <v>2239</v>
      </c>
      <c r="E180" s="690"/>
      <c r="F180" s="691"/>
      <c r="G180" s="691"/>
      <c r="H180" s="694"/>
      <c r="I180" s="693"/>
      <c r="J180" s="694"/>
      <c r="K180" s="695">
        <f>SUBTOTAL(9,K181:K188)</f>
        <v>158300</v>
      </c>
      <c r="L180" s="694"/>
    </row>
    <row r="181" spans="1:12" s="681" customFormat="1" ht="24.95" customHeight="1" outlineLevel="3">
      <c r="A181" s="702">
        <v>2</v>
      </c>
      <c r="B181" s="702" t="s">
        <v>1825</v>
      </c>
      <c r="C181" s="702" t="s">
        <v>374</v>
      </c>
      <c r="D181" s="699" t="s">
        <v>420</v>
      </c>
      <c r="E181" s="698" t="s">
        <v>2172</v>
      </c>
      <c r="F181" s="699" t="s">
        <v>1169</v>
      </c>
      <c r="G181" s="699" t="s">
        <v>2173</v>
      </c>
      <c r="H181" s="702"/>
      <c r="I181" s="701">
        <v>400</v>
      </c>
      <c r="J181" s="702">
        <v>135</v>
      </c>
      <c r="K181" s="703">
        <f t="shared" ref="K181:K188" si="21">I181*J181</f>
        <v>54000</v>
      </c>
      <c r="L181" s="702"/>
    </row>
    <row r="182" spans="1:12" s="681" customFormat="1" ht="24.95" customHeight="1" outlineLevel="3">
      <c r="A182" s="702">
        <v>2</v>
      </c>
      <c r="B182" s="702" t="s">
        <v>1825</v>
      </c>
      <c r="C182" s="702" t="s">
        <v>374</v>
      </c>
      <c r="D182" s="699" t="s">
        <v>420</v>
      </c>
      <c r="E182" s="698" t="s">
        <v>2172</v>
      </c>
      <c r="F182" s="699" t="s">
        <v>1169</v>
      </c>
      <c r="G182" s="704" t="s">
        <v>1872</v>
      </c>
      <c r="H182" s="702"/>
      <c r="I182" s="701">
        <v>2000</v>
      </c>
      <c r="J182" s="702">
        <v>3</v>
      </c>
      <c r="K182" s="703">
        <f t="shared" si="21"/>
        <v>6000</v>
      </c>
      <c r="L182" s="702"/>
    </row>
    <row r="183" spans="1:12" s="681" customFormat="1" ht="24.95" customHeight="1" outlineLevel="3">
      <c r="A183" s="702">
        <v>2</v>
      </c>
      <c r="B183" s="702" t="s">
        <v>1825</v>
      </c>
      <c r="C183" s="702" t="s">
        <v>374</v>
      </c>
      <c r="D183" s="699" t="s">
        <v>420</v>
      </c>
      <c r="E183" s="698" t="s">
        <v>2172</v>
      </c>
      <c r="F183" s="699" t="s">
        <v>1169</v>
      </c>
      <c r="G183" s="704" t="s">
        <v>2174</v>
      </c>
      <c r="H183" s="702"/>
      <c r="I183" s="701">
        <v>3500</v>
      </c>
      <c r="J183" s="702">
        <v>3</v>
      </c>
      <c r="K183" s="703">
        <f t="shared" si="21"/>
        <v>10500</v>
      </c>
      <c r="L183" s="702"/>
    </row>
    <row r="184" spans="1:12" s="681" customFormat="1" ht="24.95" customHeight="1" outlineLevel="3">
      <c r="A184" s="702">
        <v>2</v>
      </c>
      <c r="B184" s="702" t="s">
        <v>1825</v>
      </c>
      <c r="C184" s="702" t="s">
        <v>374</v>
      </c>
      <c r="D184" s="699" t="s">
        <v>420</v>
      </c>
      <c r="E184" s="698" t="s">
        <v>2172</v>
      </c>
      <c r="F184" s="699" t="s">
        <v>1169</v>
      </c>
      <c r="G184" s="704" t="s">
        <v>2198</v>
      </c>
      <c r="H184" s="702"/>
      <c r="I184" s="701">
        <v>1600</v>
      </c>
      <c r="J184" s="702">
        <v>4</v>
      </c>
      <c r="K184" s="703">
        <f t="shared" si="21"/>
        <v>6400</v>
      </c>
      <c r="L184" s="702"/>
    </row>
    <row r="185" spans="1:12" s="681" customFormat="1" ht="24.95" customHeight="1" outlineLevel="3">
      <c r="A185" s="702">
        <v>2</v>
      </c>
      <c r="B185" s="702" t="s">
        <v>1825</v>
      </c>
      <c r="C185" s="702" t="s">
        <v>374</v>
      </c>
      <c r="D185" s="699" t="s">
        <v>420</v>
      </c>
      <c r="E185" s="698" t="s">
        <v>2172</v>
      </c>
      <c r="F185" s="699" t="s">
        <v>1169</v>
      </c>
      <c r="G185" s="704" t="s">
        <v>2199</v>
      </c>
      <c r="H185" s="702"/>
      <c r="I185" s="701">
        <v>700</v>
      </c>
      <c r="J185" s="702">
        <v>2</v>
      </c>
      <c r="K185" s="703">
        <f t="shared" si="21"/>
        <v>1400</v>
      </c>
      <c r="L185" s="702"/>
    </row>
    <row r="186" spans="1:12" s="681" customFormat="1" ht="24.95" customHeight="1" outlineLevel="3">
      <c r="A186" s="702">
        <v>2</v>
      </c>
      <c r="B186" s="702" t="s">
        <v>1825</v>
      </c>
      <c r="C186" s="702" t="s">
        <v>374</v>
      </c>
      <c r="D186" s="699" t="s">
        <v>420</v>
      </c>
      <c r="E186" s="698" t="s">
        <v>2172</v>
      </c>
      <c r="F186" s="699" t="s">
        <v>1169</v>
      </c>
      <c r="G186" s="704" t="s">
        <v>2206</v>
      </c>
      <c r="H186" s="702"/>
      <c r="I186" s="701">
        <v>2000</v>
      </c>
      <c r="J186" s="702">
        <v>3</v>
      </c>
      <c r="K186" s="703">
        <f t="shared" si="21"/>
        <v>6000</v>
      </c>
      <c r="L186" s="702"/>
    </row>
    <row r="187" spans="1:12" s="681" customFormat="1" ht="24.95" customHeight="1" outlineLevel="3">
      <c r="A187" s="702">
        <v>2</v>
      </c>
      <c r="B187" s="702" t="s">
        <v>1825</v>
      </c>
      <c r="C187" s="702" t="s">
        <v>374</v>
      </c>
      <c r="D187" s="699" t="s">
        <v>420</v>
      </c>
      <c r="E187" s="698" t="s">
        <v>2172</v>
      </c>
      <c r="F187" s="699" t="s">
        <v>1172</v>
      </c>
      <c r="G187" s="704" t="s">
        <v>2207</v>
      </c>
      <c r="H187" s="702"/>
      <c r="I187" s="701">
        <v>18000</v>
      </c>
      <c r="J187" s="702">
        <v>3</v>
      </c>
      <c r="K187" s="703">
        <f t="shared" si="21"/>
        <v>54000</v>
      </c>
      <c r="L187" s="702"/>
    </row>
    <row r="188" spans="1:12" s="681" customFormat="1" ht="24.95" customHeight="1" outlineLevel="3">
      <c r="A188" s="702">
        <v>2</v>
      </c>
      <c r="B188" s="702" t="s">
        <v>1825</v>
      </c>
      <c r="C188" s="702" t="s">
        <v>374</v>
      </c>
      <c r="D188" s="699" t="s">
        <v>420</v>
      </c>
      <c r="E188" s="698" t="s">
        <v>2172</v>
      </c>
      <c r="F188" s="710" t="s">
        <v>2200</v>
      </c>
      <c r="G188" s="704" t="s">
        <v>2201</v>
      </c>
      <c r="H188" s="702"/>
      <c r="I188" s="701">
        <v>5000</v>
      </c>
      <c r="J188" s="702">
        <v>4</v>
      </c>
      <c r="K188" s="703">
        <f t="shared" si="21"/>
        <v>20000</v>
      </c>
      <c r="L188" s="702"/>
    </row>
    <row r="189" spans="1:12" s="681" customFormat="1" ht="24.95" customHeight="1" outlineLevel="1">
      <c r="A189" s="694"/>
      <c r="B189" s="694"/>
      <c r="C189" s="694"/>
      <c r="D189" s="691" t="s">
        <v>2240</v>
      </c>
      <c r="E189" s="690"/>
      <c r="F189" s="691"/>
      <c r="G189" s="691"/>
      <c r="H189" s="694"/>
      <c r="I189" s="693"/>
      <c r="J189" s="694"/>
      <c r="K189" s="695">
        <f>SUBTOTAL(9,K190:K194)</f>
        <v>43500</v>
      </c>
      <c r="L189" s="694"/>
    </row>
    <row r="190" spans="1:12" s="681" customFormat="1" ht="24.95" customHeight="1" outlineLevel="3">
      <c r="A190" s="702">
        <v>3</v>
      </c>
      <c r="B190" s="702" t="s">
        <v>1825</v>
      </c>
      <c r="C190" s="702" t="s">
        <v>374</v>
      </c>
      <c r="D190" s="699" t="s">
        <v>417</v>
      </c>
      <c r="E190" s="698" t="s">
        <v>2172</v>
      </c>
      <c r="F190" s="699" t="s">
        <v>1169</v>
      </c>
      <c r="G190" s="699" t="s">
        <v>2173</v>
      </c>
      <c r="H190" s="702"/>
      <c r="I190" s="701">
        <v>400</v>
      </c>
      <c r="J190" s="702">
        <v>45</v>
      </c>
      <c r="K190" s="703">
        <f>I190*J190</f>
        <v>18000</v>
      </c>
      <c r="L190" s="702"/>
    </row>
    <row r="191" spans="1:12" s="681" customFormat="1" ht="24.95" customHeight="1" outlineLevel="3">
      <c r="A191" s="702">
        <v>3</v>
      </c>
      <c r="B191" s="702" t="s">
        <v>1825</v>
      </c>
      <c r="C191" s="702" t="s">
        <v>374</v>
      </c>
      <c r="D191" s="699" t="s">
        <v>417</v>
      </c>
      <c r="E191" s="698" t="s">
        <v>2172</v>
      </c>
      <c r="F191" s="699" t="s">
        <v>1169</v>
      </c>
      <c r="G191" s="704" t="s">
        <v>1872</v>
      </c>
      <c r="H191" s="702"/>
      <c r="I191" s="701">
        <v>2000</v>
      </c>
      <c r="J191" s="702">
        <v>1</v>
      </c>
      <c r="K191" s="703">
        <f>I191*J191</f>
        <v>2000</v>
      </c>
      <c r="L191" s="702"/>
    </row>
    <row r="192" spans="1:12" s="681" customFormat="1" ht="24.95" customHeight="1" outlineLevel="3">
      <c r="A192" s="702">
        <v>3</v>
      </c>
      <c r="B192" s="702" t="s">
        <v>1825</v>
      </c>
      <c r="C192" s="702" t="s">
        <v>374</v>
      </c>
      <c r="D192" s="699" t="s">
        <v>417</v>
      </c>
      <c r="E192" s="698" t="s">
        <v>2172</v>
      </c>
      <c r="F192" s="699" t="s">
        <v>1169</v>
      </c>
      <c r="G192" s="704" t="s">
        <v>2174</v>
      </c>
      <c r="H192" s="702"/>
      <c r="I192" s="701">
        <v>3500</v>
      </c>
      <c r="J192" s="702">
        <v>1</v>
      </c>
      <c r="K192" s="703">
        <f>I192*J192</f>
        <v>3500</v>
      </c>
      <c r="L192" s="702"/>
    </row>
    <row r="193" spans="1:12" s="681" customFormat="1" ht="24.95" customHeight="1" outlineLevel="3">
      <c r="A193" s="702">
        <v>3</v>
      </c>
      <c r="B193" s="702" t="s">
        <v>1825</v>
      </c>
      <c r="C193" s="702" t="s">
        <v>374</v>
      </c>
      <c r="D193" s="699" t="s">
        <v>417</v>
      </c>
      <c r="E193" s="698" t="s">
        <v>2172</v>
      </c>
      <c r="F193" s="699" t="s">
        <v>1169</v>
      </c>
      <c r="G193" s="704" t="s">
        <v>2206</v>
      </c>
      <c r="H193" s="702"/>
      <c r="I193" s="701">
        <v>2000</v>
      </c>
      <c r="J193" s="702">
        <v>1</v>
      </c>
      <c r="K193" s="703">
        <f>I193*J193</f>
        <v>2000</v>
      </c>
      <c r="L193" s="702"/>
    </row>
    <row r="194" spans="1:12" s="681" customFormat="1" ht="24.95" customHeight="1" outlineLevel="3">
      <c r="A194" s="702">
        <v>3</v>
      </c>
      <c r="B194" s="702" t="s">
        <v>1825</v>
      </c>
      <c r="C194" s="702" t="s">
        <v>374</v>
      </c>
      <c r="D194" s="699" t="s">
        <v>417</v>
      </c>
      <c r="E194" s="698" t="s">
        <v>2172</v>
      </c>
      <c r="F194" s="699" t="s">
        <v>1172</v>
      </c>
      <c r="G194" s="704" t="s">
        <v>2207</v>
      </c>
      <c r="H194" s="702"/>
      <c r="I194" s="701">
        <v>18000</v>
      </c>
      <c r="J194" s="702">
        <v>1</v>
      </c>
      <c r="K194" s="703">
        <f>I194*J194</f>
        <v>18000</v>
      </c>
      <c r="L194" s="702"/>
    </row>
    <row r="195" spans="1:12" s="681" customFormat="1" ht="24.95" customHeight="1" outlineLevel="1">
      <c r="A195" s="694"/>
      <c r="B195" s="694"/>
      <c r="C195" s="694"/>
      <c r="D195" s="691" t="s">
        <v>2241</v>
      </c>
      <c r="E195" s="690"/>
      <c r="F195" s="691"/>
      <c r="G195" s="691"/>
      <c r="H195" s="694"/>
      <c r="I195" s="693"/>
      <c r="J195" s="694"/>
      <c r="K195" s="695">
        <f>SUBTOTAL(9,K196:K200)</f>
        <v>43500</v>
      </c>
      <c r="L195" s="694"/>
    </row>
    <row r="196" spans="1:12" s="681" customFormat="1" ht="24.95" customHeight="1" outlineLevel="3">
      <c r="A196" s="702">
        <v>4</v>
      </c>
      <c r="B196" s="702" t="s">
        <v>1825</v>
      </c>
      <c r="C196" s="702" t="s">
        <v>374</v>
      </c>
      <c r="D196" s="699" t="s">
        <v>419</v>
      </c>
      <c r="E196" s="698" t="s">
        <v>2172</v>
      </c>
      <c r="F196" s="699" t="s">
        <v>1169</v>
      </c>
      <c r="G196" s="699" t="s">
        <v>2173</v>
      </c>
      <c r="H196" s="702"/>
      <c r="I196" s="701">
        <v>400</v>
      </c>
      <c r="J196" s="702">
        <v>45</v>
      </c>
      <c r="K196" s="703">
        <f>I196*J196</f>
        <v>18000</v>
      </c>
      <c r="L196" s="702"/>
    </row>
    <row r="197" spans="1:12" s="681" customFormat="1" ht="24.95" customHeight="1" outlineLevel="3">
      <c r="A197" s="702">
        <v>4</v>
      </c>
      <c r="B197" s="702" t="s">
        <v>1825</v>
      </c>
      <c r="C197" s="702" t="s">
        <v>374</v>
      </c>
      <c r="D197" s="699" t="s">
        <v>419</v>
      </c>
      <c r="E197" s="698" t="s">
        <v>2172</v>
      </c>
      <c r="F197" s="699" t="s">
        <v>1169</v>
      </c>
      <c r="G197" s="704" t="s">
        <v>1872</v>
      </c>
      <c r="H197" s="702"/>
      <c r="I197" s="701">
        <v>2000</v>
      </c>
      <c r="J197" s="702">
        <v>1</v>
      </c>
      <c r="K197" s="703">
        <f>I197*J197</f>
        <v>2000</v>
      </c>
      <c r="L197" s="702"/>
    </row>
    <row r="198" spans="1:12" s="681" customFormat="1" ht="24.95" customHeight="1" outlineLevel="3">
      <c r="A198" s="702">
        <v>4</v>
      </c>
      <c r="B198" s="702" t="s">
        <v>1825</v>
      </c>
      <c r="C198" s="702" t="s">
        <v>374</v>
      </c>
      <c r="D198" s="699" t="s">
        <v>419</v>
      </c>
      <c r="E198" s="698" t="s">
        <v>2172</v>
      </c>
      <c r="F198" s="699" t="s">
        <v>1169</v>
      </c>
      <c r="G198" s="704" t="s">
        <v>2174</v>
      </c>
      <c r="H198" s="702"/>
      <c r="I198" s="701">
        <v>3500</v>
      </c>
      <c r="J198" s="702">
        <v>1</v>
      </c>
      <c r="K198" s="703">
        <f>I198*J198</f>
        <v>3500</v>
      </c>
      <c r="L198" s="702"/>
    </row>
    <row r="199" spans="1:12" s="681" customFormat="1" ht="24.95" customHeight="1" outlineLevel="3">
      <c r="A199" s="702">
        <v>4</v>
      </c>
      <c r="B199" s="702" t="s">
        <v>1825</v>
      </c>
      <c r="C199" s="702" t="s">
        <v>374</v>
      </c>
      <c r="D199" s="699" t="s">
        <v>419</v>
      </c>
      <c r="E199" s="698" t="s">
        <v>2172</v>
      </c>
      <c r="F199" s="699" t="s">
        <v>1169</v>
      </c>
      <c r="G199" s="704" t="s">
        <v>2206</v>
      </c>
      <c r="H199" s="702"/>
      <c r="I199" s="701">
        <v>2000</v>
      </c>
      <c r="J199" s="702">
        <v>1</v>
      </c>
      <c r="K199" s="703">
        <f>I199*J199</f>
        <v>2000</v>
      </c>
      <c r="L199" s="702"/>
    </row>
    <row r="200" spans="1:12" s="681" customFormat="1" ht="24.95" customHeight="1" outlineLevel="3">
      <c r="A200" s="702">
        <v>4</v>
      </c>
      <c r="B200" s="702" t="s">
        <v>1825</v>
      </c>
      <c r="C200" s="702" t="s">
        <v>374</v>
      </c>
      <c r="D200" s="699" t="s">
        <v>419</v>
      </c>
      <c r="E200" s="698" t="s">
        <v>2172</v>
      </c>
      <c r="F200" s="699" t="s">
        <v>1172</v>
      </c>
      <c r="G200" s="704" t="s">
        <v>2207</v>
      </c>
      <c r="H200" s="702"/>
      <c r="I200" s="701">
        <v>18000</v>
      </c>
      <c r="J200" s="702">
        <v>1</v>
      </c>
      <c r="K200" s="703">
        <f>I200*J200</f>
        <v>18000</v>
      </c>
      <c r="L200" s="702"/>
    </row>
    <row r="201" spans="1:12" s="681" customFormat="1" ht="24.95" customHeight="1" outlineLevel="1">
      <c r="A201" s="694"/>
      <c r="B201" s="694"/>
      <c r="C201" s="694"/>
      <c r="D201" s="691" t="s">
        <v>2242</v>
      </c>
      <c r="E201" s="690"/>
      <c r="F201" s="691"/>
      <c r="G201" s="691"/>
      <c r="H201" s="694"/>
      <c r="I201" s="693"/>
      <c r="J201" s="694"/>
      <c r="K201" s="695">
        <f>SUBTOTAL(9,K202:K210)</f>
        <v>415600</v>
      </c>
      <c r="L201" s="694"/>
    </row>
    <row r="202" spans="1:12" s="681" customFormat="1" ht="24.95" customHeight="1" outlineLevel="3">
      <c r="A202" s="702">
        <v>5</v>
      </c>
      <c r="B202" s="702" t="s">
        <v>1825</v>
      </c>
      <c r="C202" s="702" t="s">
        <v>374</v>
      </c>
      <c r="D202" s="699" t="s">
        <v>435</v>
      </c>
      <c r="E202" s="698" t="s">
        <v>2172</v>
      </c>
      <c r="F202" s="699" t="s">
        <v>1169</v>
      </c>
      <c r="G202" s="699" t="s">
        <v>2173</v>
      </c>
      <c r="H202" s="702"/>
      <c r="I202" s="701">
        <v>400</v>
      </c>
      <c r="J202" s="702">
        <v>225</v>
      </c>
      <c r="K202" s="703">
        <f t="shared" ref="K202:K210" si="22">I202*J202</f>
        <v>90000</v>
      </c>
      <c r="L202" s="702"/>
    </row>
    <row r="203" spans="1:12" s="681" customFormat="1" ht="24.95" customHeight="1" outlineLevel="3">
      <c r="A203" s="702">
        <v>5</v>
      </c>
      <c r="B203" s="702" t="s">
        <v>1825</v>
      </c>
      <c r="C203" s="702" t="s">
        <v>374</v>
      </c>
      <c r="D203" s="699" t="s">
        <v>435</v>
      </c>
      <c r="E203" s="698" t="s">
        <v>2172</v>
      </c>
      <c r="F203" s="699" t="s">
        <v>1169</v>
      </c>
      <c r="G203" s="704" t="s">
        <v>1872</v>
      </c>
      <c r="H203" s="702"/>
      <c r="I203" s="701">
        <v>2000</v>
      </c>
      <c r="J203" s="702">
        <v>5</v>
      </c>
      <c r="K203" s="703">
        <f t="shared" si="22"/>
        <v>10000</v>
      </c>
      <c r="L203" s="702"/>
    </row>
    <row r="204" spans="1:12" s="681" customFormat="1" ht="24.95" customHeight="1" outlineLevel="3">
      <c r="A204" s="702">
        <v>5</v>
      </c>
      <c r="B204" s="702" t="s">
        <v>1825</v>
      </c>
      <c r="C204" s="702" t="s">
        <v>374</v>
      </c>
      <c r="D204" s="699" t="s">
        <v>435</v>
      </c>
      <c r="E204" s="698" t="s">
        <v>2172</v>
      </c>
      <c r="F204" s="699" t="s">
        <v>1169</v>
      </c>
      <c r="G204" s="704" t="s">
        <v>2174</v>
      </c>
      <c r="H204" s="702"/>
      <c r="I204" s="701">
        <v>3500</v>
      </c>
      <c r="J204" s="702">
        <v>5</v>
      </c>
      <c r="K204" s="703">
        <f t="shared" si="22"/>
        <v>17500</v>
      </c>
      <c r="L204" s="702"/>
    </row>
    <row r="205" spans="1:12" s="681" customFormat="1" ht="24.95" customHeight="1" outlineLevel="3">
      <c r="A205" s="702">
        <v>5</v>
      </c>
      <c r="B205" s="702" t="s">
        <v>1825</v>
      </c>
      <c r="C205" s="702" t="s">
        <v>374</v>
      </c>
      <c r="D205" s="699" t="s">
        <v>435</v>
      </c>
      <c r="E205" s="698" t="s">
        <v>2172</v>
      </c>
      <c r="F205" s="699" t="s">
        <v>1169</v>
      </c>
      <c r="G205" s="704" t="s">
        <v>2198</v>
      </c>
      <c r="H205" s="702"/>
      <c r="I205" s="701">
        <v>1600</v>
      </c>
      <c r="J205" s="702">
        <v>18</v>
      </c>
      <c r="K205" s="703">
        <f t="shared" si="22"/>
        <v>28800</v>
      </c>
      <c r="L205" s="702"/>
    </row>
    <row r="206" spans="1:12" s="681" customFormat="1" ht="24.95" customHeight="1" outlineLevel="3">
      <c r="A206" s="702">
        <v>5</v>
      </c>
      <c r="B206" s="702" t="s">
        <v>1825</v>
      </c>
      <c r="C206" s="702" t="s">
        <v>374</v>
      </c>
      <c r="D206" s="699" t="s">
        <v>435</v>
      </c>
      <c r="E206" s="698" t="s">
        <v>2172</v>
      </c>
      <c r="F206" s="699" t="s">
        <v>1169</v>
      </c>
      <c r="G206" s="704" t="s">
        <v>2199</v>
      </c>
      <c r="H206" s="702"/>
      <c r="I206" s="701">
        <v>700</v>
      </c>
      <c r="J206" s="702">
        <v>9</v>
      </c>
      <c r="K206" s="703">
        <f t="shared" si="22"/>
        <v>6300</v>
      </c>
      <c r="L206" s="702"/>
    </row>
    <row r="207" spans="1:12" s="681" customFormat="1" ht="24.95" customHeight="1" outlineLevel="3">
      <c r="A207" s="702">
        <v>5</v>
      </c>
      <c r="B207" s="702" t="s">
        <v>1825</v>
      </c>
      <c r="C207" s="702" t="s">
        <v>374</v>
      </c>
      <c r="D207" s="699" t="s">
        <v>435</v>
      </c>
      <c r="E207" s="698" t="s">
        <v>2172</v>
      </c>
      <c r="F207" s="699" t="s">
        <v>1169</v>
      </c>
      <c r="G207" s="704" t="s">
        <v>2206</v>
      </c>
      <c r="H207" s="702"/>
      <c r="I207" s="701">
        <v>2000</v>
      </c>
      <c r="J207" s="702">
        <v>5</v>
      </c>
      <c r="K207" s="703">
        <f t="shared" si="22"/>
        <v>10000</v>
      </c>
      <c r="L207" s="702"/>
    </row>
    <row r="208" spans="1:12" s="681" customFormat="1" ht="24.95" customHeight="1" outlineLevel="3">
      <c r="A208" s="702">
        <v>5</v>
      </c>
      <c r="B208" s="702" t="s">
        <v>1825</v>
      </c>
      <c r="C208" s="702" t="s">
        <v>374</v>
      </c>
      <c r="D208" s="699" t="s">
        <v>435</v>
      </c>
      <c r="E208" s="698" t="s">
        <v>2172</v>
      </c>
      <c r="F208" s="699" t="s">
        <v>1172</v>
      </c>
      <c r="G208" s="704" t="s">
        <v>2207</v>
      </c>
      <c r="H208" s="702"/>
      <c r="I208" s="701">
        <v>18000</v>
      </c>
      <c r="J208" s="702">
        <v>5</v>
      </c>
      <c r="K208" s="703">
        <f t="shared" si="22"/>
        <v>90000</v>
      </c>
      <c r="L208" s="702"/>
    </row>
    <row r="209" spans="1:12" s="681" customFormat="1" ht="24.95" customHeight="1" outlineLevel="3">
      <c r="A209" s="702">
        <v>5</v>
      </c>
      <c r="B209" s="702" t="s">
        <v>1825</v>
      </c>
      <c r="C209" s="702" t="s">
        <v>374</v>
      </c>
      <c r="D209" s="699" t="s">
        <v>435</v>
      </c>
      <c r="E209" s="698" t="s">
        <v>2172</v>
      </c>
      <c r="F209" s="710" t="s">
        <v>2200</v>
      </c>
      <c r="G209" s="704" t="s">
        <v>2201</v>
      </c>
      <c r="H209" s="702"/>
      <c r="I209" s="701">
        <v>5000</v>
      </c>
      <c r="J209" s="702">
        <v>18</v>
      </c>
      <c r="K209" s="703">
        <f t="shared" si="22"/>
        <v>90000</v>
      </c>
      <c r="L209" s="702"/>
    </row>
    <row r="210" spans="1:12" s="681" customFormat="1" ht="24.95" customHeight="1" outlineLevel="3">
      <c r="A210" s="702">
        <v>5</v>
      </c>
      <c r="B210" s="702" t="s">
        <v>1825</v>
      </c>
      <c r="C210" s="702" t="s">
        <v>374</v>
      </c>
      <c r="D210" s="699" t="s">
        <v>435</v>
      </c>
      <c r="E210" s="698" t="s">
        <v>2172</v>
      </c>
      <c r="F210" s="705" t="s">
        <v>2190</v>
      </c>
      <c r="G210" s="704" t="s">
        <v>2203</v>
      </c>
      <c r="H210" s="702"/>
      <c r="I210" s="701">
        <v>7300</v>
      </c>
      <c r="J210" s="702">
        <v>10</v>
      </c>
      <c r="K210" s="703">
        <f t="shared" si="22"/>
        <v>73000</v>
      </c>
      <c r="L210" s="702"/>
    </row>
    <row r="211" spans="1:12" s="681" customFormat="1" ht="24.95" customHeight="1" outlineLevel="1">
      <c r="A211" s="694"/>
      <c r="B211" s="694"/>
      <c r="C211" s="694"/>
      <c r="D211" s="691" t="s">
        <v>2243</v>
      </c>
      <c r="E211" s="690"/>
      <c r="F211" s="691"/>
      <c r="G211" s="691"/>
      <c r="H211" s="694"/>
      <c r="I211" s="693"/>
      <c r="J211" s="694"/>
      <c r="K211" s="695">
        <f>SUBTOTAL(9,K212:K220)</f>
        <v>177500</v>
      </c>
      <c r="L211" s="694"/>
    </row>
    <row r="212" spans="1:12" s="681" customFormat="1" ht="24.95" customHeight="1" outlineLevel="3">
      <c r="A212" s="702">
        <v>6</v>
      </c>
      <c r="B212" s="702" t="s">
        <v>1825</v>
      </c>
      <c r="C212" s="702" t="s">
        <v>379</v>
      </c>
      <c r="D212" s="699" t="s">
        <v>422</v>
      </c>
      <c r="E212" s="698" t="s">
        <v>2172</v>
      </c>
      <c r="F212" s="699" t="s">
        <v>1169</v>
      </c>
      <c r="G212" s="699" t="s">
        <v>2173</v>
      </c>
      <c r="H212" s="702"/>
      <c r="I212" s="701">
        <v>400</v>
      </c>
      <c r="J212" s="702">
        <v>135</v>
      </c>
      <c r="K212" s="703">
        <f t="shared" ref="K212:K220" si="23">I212*J212</f>
        <v>54000</v>
      </c>
      <c r="L212" s="702"/>
    </row>
    <row r="213" spans="1:12" s="681" customFormat="1" ht="24.95" customHeight="1" outlineLevel="3">
      <c r="A213" s="702">
        <v>6</v>
      </c>
      <c r="B213" s="702" t="s">
        <v>1825</v>
      </c>
      <c r="C213" s="702" t="s">
        <v>379</v>
      </c>
      <c r="D213" s="699" t="s">
        <v>422</v>
      </c>
      <c r="E213" s="698" t="s">
        <v>2172</v>
      </c>
      <c r="F213" s="699" t="s">
        <v>1169</v>
      </c>
      <c r="G213" s="704" t="s">
        <v>1872</v>
      </c>
      <c r="H213" s="702"/>
      <c r="I213" s="701">
        <v>2000</v>
      </c>
      <c r="J213" s="702">
        <v>3</v>
      </c>
      <c r="K213" s="703">
        <f t="shared" si="23"/>
        <v>6000</v>
      </c>
      <c r="L213" s="702"/>
    </row>
    <row r="214" spans="1:12" s="681" customFormat="1" ht="24.95" customHeight="1" outlineLevel="3">
      <c r="A214" s="702">
        <v>6</v>
      </c>
      <c r="B214" s="702" t="s">
        <v>1825</v>
      </c>
      <c r="C214" s="702" t="s">
        <v>379</v>
      </c>
      <c r="D214" s="699" t="s">
        <v>422</v>
      </c>
      <c r="E214" s="698" t="s">
        <v>2172</v>
      </c>
      <c r="F214" s="699" t="s">
        <v>1169</v>
      </c>
      <c r="G214" s="704" t="s">
        <v>2174</v>
      </c>
      <c r="H214" s="702"/>
      <c r="I214" s="701">
        <v>3500</v>
      </c>
      <c r="J214" s="702">
        <v>3</v>
      </c>
      <c r="K214" s="703">
        <f t="shared" si="23"/>
        <v>10500</v>
      </c>
      <c r="L214" s="702"/>
    </row>
    <row r="215" spans="1:12" s="681" customFormat="1" ht="24.95" customHeight="1" outlineLevel="3">
      <c r="A215" s="702">
        <v>6</v>
      </c>
      <c r="B215" s="702" t="s">
        <v>1825</v>
      </c>
      <c r="C215" s="702" t="s">
        <v>379</v>
      </c>
      <c r="D215" s="699" t="s">
        <v>422</v>
      </c>
      <c r="E215" s="698" t="s">
        <v>2172</v>
      </c>
      <c r="F215" s="699" t="s">
        <v>1169</v>
      </c>
      <c r="G215" s="704" t="s">
        <v>2198</v>
      </c>
      <c r="H215" s="702"/>
      <c r="I215" s="701">
        <v>1600</v>
      </c>
      <c r="J215" s="702">
        <v>3</v>
      </c>
      <c r="K215" s="703">
        <f t="shared" si="23"/>
        <v>4800</v>
      </c>
      <c r="L215" s="702"/>
    </row>
    <row r="216" spans="1:12" s="681" customFormat="1" ht="24.95" customHeight="1" outlineLevel="3">
      <c r="A216" s="702">
        <v>6</v>
      </c>
      <c r="B216" s="702" t="s">
        <v>1825</v>
      </c>
      <c r="C216" s="702" t="s">
        <v>379</v>
      </c>
      <c r="D216" s="699" t="s">
        <v>422</v>
      </c>
      <c r="E216" s="698" t="s">
        <v>2172</v>
      </c>
      <c r="F216" s="699" t="s">
        <v>1169</v>
      </c>
      <c r="G216" s="704" t="s">
        <v>2199</v>
      </c>
      <c r="H216" s="702"/>
      <c r="I216" s="701">
        <v>700</v>
      </c>
      <c r="J216" s="702">
        <v>2</v>
      </c>
      <c r="K216" s="703">
        <f t="shared" si="23"/>
        <v>1400</v>
      </c>
      <c r="L216" s="702"/>
    </row>
    <row r="217" spans="1:12" s="681" customFormat="1" ht="24.95" customHeight="1" outlineLevel="3">
      <c r="A217" s="702">
        <v>6</v>
      </c>
      <c r="B217" s="702" t="s">
        <v>1825</v>
      </c>
      <c r="C217" s="702" t="s">
        <v>379</v>
      </c>
      <c r="D217" s="699" t="s">
        <v>422</v>
      </c>
      <c r="E217" s="698" t="s">
        <v>2202</v>
      </c>
      <c r="F217" s="699" t="s">
        <v>1169</v>
      </c>
      <c r="G217" s="704" t="s">
        <v>2206</v>
      </c>
      <c r="H217" s="702"/>
      <c r="I217" s="701">
        <v>2000</v>
      </c>
      <c r="J217" s="702">
        <v>3</v>
      </c>
      <c r="K217" s="703">
        <f t="shared" si="23"/>
        <v>6000</v>
      </c>
      <c r="L217" s="702"/>
    </row>
    <row r="218" spans="1:12" s="681" customFormat="1" ht="24.95" customHeight="1" outlineLevel="3">
      <c r="A218" s="702">
        <v>6</v>
      </c>
      <c r="B218" s="702" t="s">
        <v>1825</v>
      </c>
      <c r="C218" s="702" t="s">
        <v>379</v>
      </c>
      <c r="D218" s="699" t="s">
        <v>422</v>
      </c>
      <c r="E218" s="698" t="s">
        <v>2172</v>
      </c>
      <c r="F218" s="699" t="s">
        <v>1172</v>
      </c>
      <c r="G218" s="704" t="s">
        <v>2211</v>
      </c>
      <c r="H218" s="702"/>
      <c r="I218" s="701">
        <v>12000</v>
      </c>
      <c r="J218" s="702">
        <v>3</v>
      </c>
      <c r="K218" s="703">
        <f t="shared" si="23"/>
        <v>36000</v>
      </c>
      <c r="L218" s="702"/>
    </row>
    <row r="219" spans="1:12" s="681" customFormat="1" ht="24.95" customHeight="1" outlineLevel="3">
      <c r="A219" s="702">
        <v>6</v>
      </c>
      <c r="B219" s="702" t="s">
        <v>1825</v>
      </c>
      <c r="C219" s="702" t="s">
        <v>379</v>
      </c>
      <c r="D219" s="699" t="s">
        <v>422</v>
      </c>
      <c r="E219" s="698" t="s">
        <v>2172</v>
      </c>
      <c r="F219" s="710" t="s">
        <v>2200</v>
      </c>
      <c r="G219" s="704" t="s">
        <v>2201</v>
      </c>
      <c r="H219" s="702"/>
      <c r="I219" s="701">
        <v>5000</v>
      </c>
      <c r="J219" s="702">
        <v>3</v>
      </c>
      <c r="K219" s="703">
        <f t="shared" si="23"/>
        <v>15000</v>
      </c>
      <c r="L219" s="702"/>
    </row>
    <row r="220" spans="1:12" s="681" customFormat="1" ht="24.95" customHeight="1" outlineLevel="3">
      <c r="A220" s="702">
        <v>6</v>
      </c>
      <c r="B220" s="702" t="s">
        <v>1825</v>
      </c>
      <c r="C220" s="702" t="s">
        <v>379</v>
      </c>
      <c r="D220" s="699" t="s">
        <v>422</v>
      </c>
      <c r="E220" s="698" t="s">
        <v>2172</v>
      </c>
      <c r="F220" s="705" t="s">
        <v>2190</v>
      </c>
      <c r="G220" s="704" t="s">
        <v>2203</v>
      </c>
      <c r="H220" s="702"/>
      <c r="I220" s="701">
        <v>7300</v>
      </c>
      <c r="J220" s="702">
        <v>6</v>
      </c>
      <c r="K220" s="703">
        <f t="shared" si="23"/>
        <v>43800</v>
      </c>
      <c r="L220" s="702"/>
    </row>
    <row r="221" spans="1:12" s="681" customFormat="1" ht="24.95" customHeight="1" outlineLevel="1">
      <c r="A221" s="694"/>
      <c r="B221" s="694"/>
      <c r="C221" s="694"/>
      <c r="D221" s="691" t="s">
        <v>2244</v>
      </c>
      <c r="E221" s="690"/>
      <c r="F221" s="691"/>
      <c r="G221" s="691"/>
      <c r="H221" s="694"/>
      <c r="I221" s="693"/>
      <c r="J221" s="694"/>
      <c r="K221" s="695">
        <f>SUBTOTAL(9,K222:K230)</f>
        <v>169700</v>
      </c>
      <c r="L221" s="694"/>
    </row>
    <row r="222" spans="1:12" s="681" customFormat="1" ht="24.95" customHeight="1" outlineLevel="3">
      <c r="A222" s="702">
        <v>7</v>
      </c>
      <c r="B222" s="702" t="s">
        <v>1825</v>
      </c>
      <c r="C222" s="702" t="s">
        <v>379</v>
      </c>
      <c r="D222" s="699" t="s">
        <v>425</v>
      </c>
      <c r="E222" s="698" t="s">
        <v>2172</v>
      </c>
      <c r="F222" s="699" t="s">
        <v>1169</v>
      </c>
      <c r="G222" s="699" t="s">
        <v>2173</v>
      </c>
      <c r="H222" s="702"/>
      <c r="I222" s="701">
        <v>400</v>
      </c>
      <c r="J222" s="702">
        <v>135</v>
      </c>
      <c r="K222" s="703">
        <f t="shared" ref="K222:K230" si="24">I222*J222</f>
        <v>54000</v>
      </c>
      <c r="L222" s="702"/>
    </row>
    <row r="223" spans="1:12" s="681" customFormat="1" ht="24.95" customHeight="1" outlineLevel="3">
      <c r="A223" s="702">
        <v>7</v>
      </c>
      <c r="B223" s="702" t="s">
        <v>1825</v>
      </c>
      <c r="C223" s="702" t="s">
        <v>379</v>
      </c>
      <c r="D223" s="699" t="s">
        <v>425</v>
      </c>
      <c r="E223" s="698" t="s">
        <v>2172</v>
      </c>
      <c r="F223" s="699" t="s">
        <v>1169</v>
      </c>
      <c r="G223" s="704" t="s">
        <v>1872</v>
      </c>
      <c r="H223" s="702"/>
      <c r="I223" s="701">
        <v>2000</v>
      </c>
      <c r="J223" s="702">
        <v>3</v>
      </c>
      <c r="K223" s="703">
        <f t="shared" si="24"/>
        <v>6000</v>
      </c>
      <c r="L223" s="702"/>
    </row>
    <row r="224" spans="1:12" s="681" customFormat="1" ht="24.95" customHeight="1" outlineLevel="3">
      <c r="A224" s="702">
        <v>7</v>
      </c>
      <c r="B224" s="702" t="s">
        <v>1825</v>
      </c>
      <c r="C224" s="702" t="s">
        <v>379</v>
      </c>
      <c r="D224" s="699" t="s">
        <v>425</v>
      </c>
      <c r="E224" s="698" t="s">
        <v>2172</v>
      </c>
      <c r="F224" s="699" t="s">
        <v>1169</v>
      </c>
      <c r="G224" s="704" t="s">
        <v>2174</v>
      </c>
      <c r="H224" s="702"/>
      <c r="I224" s="701">
        <v>3500</v>
      </c>
      <c r="J224" s="702">
        <v>3</v>
      </c>
      <c r="K224" s="703">
        <f t="shared" si="24"/>
        <v>10500</v>
      </c>
      <c r="L224" s="702"/>
    </row>
    <row r="225" spans="1:12" s="681" customFormat="1" ht="24.95" customHeight="1" outlineLevel="3">
      <c r="A225" s="702">
        <v>7</v>
      </c>
      <c r="B225" s="702" t="s">
        <v>1825</v>
      </c>
      <c r="C225" s="702" t="s">
        <v>379</v>
      </c>
      <c r="D225" s="699" t="s">
        <v>425</v>
      </c>
      <c r="E225" s="698" t="s">
        <v>2172</v>
      </c>
      <c r="F225" s="699" t="s">
        <v>1169</v>
      </c>
      <c r="G225" s="704" t="s">
        <v>2198</v>
      </c>
      <c r="H225" s="702"/>
      <c r="I225" s="701">
        <v>1600</v>
      </c>
      <c r="J225" s="702">
        <v>3</v>
      </c>
      <c r="K225" s="703">
        <f t="shared" si="24"/>
        <v>4800</v>
      </c>
      <c r="L225" s="702"/>
    </row>
    <row r="226" spans="1:12" s="681" customFormat="1" ht="24.95" customHeight="1" outlineLevel="3">
      <c r="A226" s="702">
        <v>7</v>
      </c>
      <c r="B226" s="702" t="s">
        <v>1825</v>
      </c>
      <c r="C226" s="702" t="s">
        <v>379</v>
      </c>
      <c r="D226" s="699" t="s">
        <v>425</v>
      </c>
      <c r="E226" s="698" t="s">
        <v>2172</v>
      </c>
      <c r="F226" s="699" t="s">
        <v>1169</v>
      </c>
      <c r="G226" s="704" t="s">
        <v>2199</v>
      </c>
      <c r="H226" s="702"/>
      <c r="I226" s="701">
        <v>700</v>
      </c>
      <c r="J226" s="702">
        <v>2</v>
      </c>
      <c r="K226" s="703">
        <f t="shared" si="24"/>
        <v>1400</v>
      </c>
      <c r="L226" s="702"/>
    </row>
    <row r="227" spans="1:12" s="681" customFormat="1" ht="24.95" customHeight="1" outlineLevel="3">
      <c r="A227" s="702">
        <v>7</v>
      </c>
      <c r="B227" s="702" t="s">
        <v>1825</v>
      </c>
      <c r="C227" s="702" t="s">
        <v>379</v>
      </c>
      <c r="D227" s="699" t="s">
        <v>425</v>
      </c>
      <c r="E227" s="698" t="s">
        <v>2172</v>
      </c>
      <c r="F227" s="699" t="s">
        <v>1169</v>
      </c>
      <c r="G227" s="704" t="s">
        <v>2206</v>
      </c>
      <c r="H227" s="702"/>
      <c r="I227" s="701">
        <v>2000</v>
      </c>
      <c r="J227" s="702">
        <v>3</v>
      </c>
      <c r="K227" s="703">
        <f t="shared" si="24"/>
        <v>6000</v>
      </c>
      <c r="L227" s="702"/>
    </row>
    <row r="228" spans="1:12" s="681" customFormat="1" ht="24.95" customHeight="1" outlineLevel="3">
      <c r="A228" s="702">
        <v>7</v>
      </c>
      <c r="B228" s="702" t="s">
        <v>1825</v>
      </c>
      <c r="C228" s="702" t="s">
        <v>379</v>
      </c>
      <c r="D228" s="699" t="s">
        <v>425</v>
      </c>
      <c r="E228" s="698" t="s">
        <v>2172</v>
      </c>
      <c r="F228" s="699" t="s">
        <v>1172</v>
      </c>
      <c r="G228" s="704" t="s">
        <v>2211</v>
      </c>
      <c r="H228" s="702"/>
      <c r="I228" s="701">
        <v>12000</v>
      </c>
      <c r="J228" s="702">
        <v>3</v>
      </c>
      <c r="K228" s="703">
        <f t="shared" si="24"/>
        <v>36000</v>
      </c>
      <c r="L228" s="702"/>
    </row>
    <row r="229" spans="1:12" s="681" customFormat="1" ht="24.95" customHeight="1" outlineLevel="3">
      <c r="A229" s="702">
        <v>7</v>
      </c>
      <c r="B229" s="702" t="s">
        <v>1825</v>
      </c>
      <c r="C229" s="702" t="s">
        <v>379</v>
      </c>
      <c r="D229" s="699" t="s">
        <v>425</v>
      </c>
      <c r="E229" s="698" t="s">
        <v>2172</v>
      </c>
      <c r="F229" s="710" t="s">
        <v>2200</v>
      </c>
      <c r="G229" s="704" t="s">
        <v>2201</v>
      </c>
      <c r="H229" s="702"/>
      <c r="I229" s="701">
        <v>5000</v>
      </c>
      <c r="J229" s="702">
        <v>3</v>
      </c>
      <c r="K229" s="703">
        <f t="shared" si="24"/>
        <v>15000</v>
      </c>
      <c r="L229" s="702"/>
    </row>
    <row r="230" spans="1:12" s="681" customFormat="1" ht="24.95" customHeight="1" outlineLevel="3">
      <c r="A230" s="702">
        <v>7</v>
      </c>
      <c r="B230" s="702" t="s">
        <v>1825</v>
      </c>
      <c r="C230" s="702" t="s">
        <v>379</v>
      </c>
      <c r="D230" s="699" t="s">
        <v>425</v>
      </c>
      <c r="E230" s="698" t="s">
        <v>2172</v>
      </c>
      <c r="F230" s="705" t="s">
        <v>2190</v>
      </c>
      <c r="G230" s="704" t="s">
        <v>2245</v>
      </c>
      <c r="H230" s="702"/>
      <c r="I230" s="701">
        <v>12000</v>
      </c>
      <c r="J230" s="702">
        <v>3</v>
      </c>
      <c r="K230" s="703">
        <f t="shared" si="24"/>
        <v>36000</v>
      </c>
      <c r="L230" s="702"/>
    </row>
    <row r="231" spans="1:12" s="681" customFormat="1" ht="24.95" customHeight="1" outlineLevel="1">
      <c r="A231" s="694"/>
      <c r="B231" s="694"/>
      <c r="C231" s="694"/>
      <c r="D231" s="691" t="s">
        <v>2246</v>
      </c>
      <c r="E231" s="690"/>
      <c r="F231" s="691"/>
      <c r="G231" s="691"/>
      <c r="H231" s="694"/>
      <c r="I231" s="693"/>
      <c r="J231" s="718"/>
      <c r="K231" s="695">
        <f>SUBTOTAL(9,K232:K237)</f>
        <v>104200</v>
      </c>
      <c r="L231" s="694"/>
    </row>
    <row r="232" spans="1:12" s="681" customFormat="1" ht="24.95" customHeight="1" outlineLevel="3">
      <c r="A232" s="702">
        <v>8</v>
      </c>
      <c r="B232" s="702" t="s">
        <v>1825</v>
      </c>
      <c r="C232" s="702" t="s">
        <v>379</v>
      </c>
      <c r="D232" s="699" t="s">
        <v>2247</v>
      </c>
      <c r="E232" s="698" t="s">
        <v>2172</v>
      </c>
      <c r="F232" s="699" t="s">
        <v>1169</v>
      </c>
      <c r="G232" s="699" t="s">
        <v>2173</v>
      </c>
      <c r="H232" s="702"/>
      <c r="I232" s="701">
        <v>400</v>
      </c>
      <c r="J232" s="721">
        <v>90</v>
      </c>
      <c r="K232" s="703">
        <f t="shared" ref="K232:K237" si="25">I232*J232</f>
        <v>36000</v>
      </c>
      <c r="L232" s="702"/>
    </row>
    <row r="233" spans="1:12" s="681" customFormat="1" ht="24.95" customHeight="1" outlineLevel="3">
      <c r="A233" s="702">
        <v>8</v>
      </c>
      <c r="B233" s="702" t="s">
        <v>1825</v>
      </c>
      <c r="C233" s="702" t="s">
        <v>379</v>
      </c>
      <c r="D233" s="699" t="s">
        <v>2247</v>
      </c>
      <c r="E233" s="698" t="s">
        <v>2172</v>
      </c>
      <c r="F233" s="699" t="s">
        <v>1169</v>
      </c>
      <c r="G233" s="704" t="s">
        <v>1872</v>
      </c>
      <c r="H233" s="702"/>
      <c r="I233" s="701">
        <v>2000</v>
      </c>
      <c r="J233" s="721">
        <v>2</v>
      </c>
      <c r="K233" s="703">
        <f t="shared" si="25"/>
        <v>4000</v>
      </c>
      <c r="L233" s="702"/>
    </row>
    <row r="234" spans="1:12" s="681" customFormat="1" ht="24.95" customHeight="1" outlineLevel="3">
      <c r="A234" s="702">
        <v>8</v>
      </c>
      <c r="B234" s="702" t="s">
        <v>1825</v>
      </c>
      <c r="C234" s="702" t="s">
        <v>379</v>
      </c>
      <c r="D234" s="699" t="s">
        <v>2247</v>
      </c>
      <c r="E234" s="698" t="s">
        <v>2172</v>
      </c>
      <c r="F234" s="699" t="s">
        <v>1169</v>
      </c>
      <c r="G234" s="704" t="s">
        <v>2174</v>
      </c>
      <c r="H234" s="702"/>
      <c r="I234" s="701">
        <v>3500</v>
      </c>
      <c r="J234" s="721">
        <v>2</v>
      </c>
      <c r="K234" s="703">
        <f t="shared" si="25"/>
        <v>7000</v>
      </c>
      <c r="L234" s="702"/>
    </row>
    <row r="235" spans="1:12" s="681" customFormat="1" ht="24.95" customHeight="1" outlineLevel="3">
      <c r="A235" s="702">
        <v>8</v>
      </c>
      <c r="B235" s="702" t="s">
        <v>1825</v>
      </c>
      <c r="C235" s="702" t="s">
        <v>379</v>
      </c>
      <c r="D235" s="699" t="s">
        <v>2247</v>
      </c>
      <c r="E235" s="698" t="s">
        <v>2172</v>
      </c>
      <c r="F235" s="699" t="s">
        <v>1169</v>
      </c>
      <c r="G235" s="704" t="s">
        <v>2206</v>
      </c>
      <c r="H235" s="702"/>
      <c r="I235" s="701">
        <v>2000</v>
      </c>
      <c r="J235" s="721">
        <v>2</v>
      </c>
      <c r="K235" s="703">
        <f t="shared" si="25"/>
        <v>4000</v>
      </c>
      <c r="L235" s="702"/>
    </row>
    <row r="236" spans="1:12" s="681" customFormat="1" ht="24.95" customHeight="1" outlineLevel="3">
      <c r="A236" s="702">
        <v>8</v>
      </c>
      <c r="B236" s="702" t="s">
        <v>1825</v>
      </c>
      <c r="C236" s="702" t="s">
        <v>379</v>
      </c>
      <c r="D236" s="699" t="s">
        <v>2247</v>
      </c>
      <c r="E236" s="698" t="s">
        <v>2172</v>
      </c>
      <c r="F236" s="699" t="s">
        <v>1172</v>
      </c>
      <c r="G236" s="704" t="s">
        <v>2211</v>
      </c>
      <c r="H236" s="702"/>
      <c r="I236" s="701">
        <v>12000</v>
      </c>
      <c r="J236" s="721">
        <v>2</v>
      </c>
      <c r="K236" s="703">
        <f t="shared" si="25"/>
        <v>24000</v>
      </c>
      <c r="L236" s="702"/>
    </row>
    <row r="237" spans="1:12" s="681" customFormat="1" ht="24.95" customHeight="1" outlineLevel="3">
      <c r="A237" s="702">
        <v>8</v>
      </c>
      <c r="B237" s="702" t="s">
        <v>1825</v>
      </c>
      <c r="C237" s="702" t="s">
        <v>379</v>
      </c>
      <c r="D237" s="699" t="s">
        <v>2247</v>
      </c>
      <c r="E237" s="698" t="s">
        <v>2172</v>
      </c>
      <c r="F237" s="705" t="s">
        <v>2190</v>
      </c>
      <c r="G237" s="704" t="s">
        <v>2203</v>
      </c>
      <c r="H237" s="702"/>
      <c r="I237" s="701">
        <v>7300</v>
      </c>
      <c r="J237" s="702">
        <v>4</v>
      </c>
      <c r="K237" s="703">
        <f t="shared" si="25"/>
        <v>29200</v>
      </c>
      <c r="L237" s="702"/>
    </row>
    <row r="238" spans="1:12" s="681" customFormat="1" ht="24.95" customHeight="1" outlineLevel="1">
      <c r="A238" s="688"/>
      <c r="B238" s="688"/>
      <c r="C238" s="688"/>
      <c r="D238" s="689" t="s">
        <v>2248</v>
      </c>
      <c r="E238" s="690"/>
      <c r="F238" s="706"/>
      <c r="G238" s="707"/>
      <c r="H238" s="692"/>
      <c r="I238" s="708"/>
      <c r="J238" s="709"/>
      <c r="K238" s="695">
        <f>SUBTOTAL(9,K239:K254)</f>
        <v>256600</v>
      </c>
      <c r="L238" s="691"/>
    </row>
    <row r="239" spans="1:12" s="681" customFormat="1" ht="24.95" customHeight="1" outlineLevel="3">
      <c r="A239" s="696">
        <v>9</v>
      </c>
      <c r="B239" s="696" t="s">
        <v>1825</v>
      </c>
      <c r="C239" s="696" t="s">
        <v>382</v>
      </c>
      <c r="D239" s="697" t="s">
        <v>430</v>
      </c>
      <c r="E239" s="698" t="s">
        <v>2172</v>
      </c>
      <c r="F239" s="710" t="s">
        <v>1169</v>
      </c>
      <c r="G239" s="705" t="s">
        <v>2178</v>
      </c>
      <c r="H239" s="700" t="s">
        <v>2179</v>
      </c>
      <c r="I239" s="711">
        <v>650</v>
      </c>
      <c r="J239" s="712">
        <v>15</v>
      </c>
      <c r="K239" s="703">
        <f t="shared" ref="K239:K254" si="26">I239*J239</f>
        <v>9750</v>
      </c>
      <c r="L239" s="699"/>
    </row>
    <row r="240" spans="1:12" s="681" customFormat="1" ht="24.95" customHeight="1" outlineLevel="3">
      <c r="A240" s="696">
        <v>9</v>
      </c>
      <c r="B240" s="696" t="s">
        <v>1825</v>
      </c>
      <c r="C240" s="696" t="s">
        <v>382</v>
      </c>
      <c r="D240" s="697" t="s">
        <v>430</v>
      </c>
      <c r="E240" s="698" t="s">
        <v>2172</v>
      </c>
      <c r="F240" s="710" t="s">
        <v>1169</v>
      </c>
      <c r="G240" s="705" t="s">
        <v>2180</v>
      </c>
      <c r="H240" s="700" t="s">
        <v>2179</v>
      </c>
      <c r="I240" s="711">
        <v>650</v>
      </c>
      <c r="J240" s="712">
        <v>15</v>
      </c>
      <c r="K240" s="703">
        <f t="shared" si="26"/>
        <v>9750</v>
      </c>
      <c r="L240" s="699"/>
    </row>
    <row r="241" spans="1:12" s="681" customFormat="1" ht="24.95" customHeight="1" outlineLevel="3">
      <c r="A241" s="696">
        <v>9</v>
      </c>
      <c r="B241" s="696" t="s">
        <v>1825</v>
      </c>
      <c r="C241" s="696" t="s">
        <v>382</v>
      </c>
      <c r="D241" s="697" t="s">
        <v>430</v>
      </c>
      <c r="E241" s="698" t="s">
        <v>2172</v>
      </c>
      <c r="F241" s="710" t="s">
        <v>1169</v>
      </c>
      <c r="G241" s="705" t="s">
        <v>2215</v>
      </c>
      <c r="H241" s="705" t="s">
        <v>2216</v>
      </c>
      <c r="I241" s="711">
        <v>380</v>
      </c>
      <c r="J241" s="712">
        <v>90</v>
      </c>
      <c r="K241" s="703">
        <f t="shared" si="26"/>
        <v>34200</v>
      </c>
      <c r="L241" s="699"/>
    </row>
    <row r="242" spans="1:12" s="681" customFormat="1" ht="24.95" customHeight="1" outlineLevel="3">
      <c r="A242" s="696">
        <v>9</v>
      </c>
      <c r="B242" s="696" t="s">
        <v>1825</v>
      </c>
      <c r="C242" s="696" t="s">
        <v>382</v>
      </c>
      <c r="D242" s="697" t="s">
        <v>430</v>
      </c>
      <c r="E242" s="698" t="s">
        <v>2172</v>
      </c>
      <c r="F242" s="710" t="s">
        <v>1169</v>
      </c>
      <c r="G242" s="705" t="s">
        <v>2181</v>
      </c>
      <c r="H242" s="705" t="s">
        <v>2182</v>
      </c>
      <c r="I242" s="713">
        <v>2400</v>
      </c>
      <c r="J242" s="712">
        <v>3</v>
      </c>
      <c r="K242" s="703">
        <f t="shared" si="26"/>
        <v>7200</v>
      </c>
      <c r="L242" s="699"/>
    </row>
    <row r="243" spans="1:12" s="681" customFormat="1" ht="24.95" customHeight="1" outlineLevel="3">
      <c r="A243" s="696">
        <v>9</v>
      </c>
      <c r="B243" s="696" t="s">
        <v>1825</v>
      </c>
      <c r="C243" s="696" t="s">
        <v>382</v>
      </c>
      <c r="D243" s="697" t="s">
        <v>430</v>
      </c>
      <c r="E243" s="698" t="s">
        <v>2172</v>
      </c>
      <c r="F243" s="710" t="s">
        <v>1169</v>
      </c>
      <c r="G243" s="705" t="s">
        <v>2183</v>
      </c>
      <c r="H243" s="705" t="s">
        <v>2184</v>
      </c>
      <c r="I243" s="711">
        <v>700</v>
      </c>
      <c r="J243" s="712">
        <v>3</v>
      </c>
      <c r="K243" s="703">
        <f t="shared" si="26"/>
        <v>2100</v>
      </c>
      <c r="L243" s="699"/>
    </row>
    <row r="244" spans="1:12" s="681" customFormat="1" ht="24.95" customHeight="1" outlineLevel="3">
      <c r="A244" s="696">
        <v>9</v>
      </c>
      <c r="B244" s="696" t="s">
        <v>1825</v>
      </c>
      <c r="C244" s="696" t="s">
        <v>382</v>
      </c>
      <c r="D244" s="697" t="s">
        <v>430</v>
      </c>
      <c r="E244" s="698" t="s">
        <v>2172</v>
      </c>
      <c r="F244" s="710" t="s">
        <v>1169</v>
      </c>
      <c r="G244" s="705" t="s">
        <v>2185</v>
      </c>
      <c r="H244" s="705" t="s">
        <v>2186</v>
      </c>
      <c r="I244" s="711">
        <v>6000</v>
      </c>
      <c r="J244" s="712">
        <v>3</v>
      </c>
      <c r="K244" s="703">
        <f t="shared" si="26"/>
        <v>18000</v>
      </c>
      <c r="L244" s="699"/>
    </row>
    <row r="245" spans="1:12" s="681" customFormat="1" ht="24.95" customHeight="1" outlineLevel="3">
      <c r="A245" s="696">
        <v>9</v>
      </c>
      <c r="B245" s="696" t="s">
        <v>1825</v>
      </c>
      <c r="C245" s="696" t="s">
        <v>382</v>
      </c>
      <c r="D245" s="697" t="s">
        <v>430</v>
      </c>
      <c r="E245" s="698" t="s">
        <v>2172</v>
      </c>
      <c r="F245" s="710" t="s">
        <v>1169</v>
      </c>
      <c r="G245" s="705" t="s">
        <v>2198</v>
      </c>
      <c r="H245" s="705"/>
      <c r="I245" s="711">
        <v>1600</v>
      </c>
      <c r="J245" s="712">
        <v>2</v>
      </c>
      <c r="K245" s="703">
        <f t="shared" si="26"/>
        <v>3200</v>
      </c>
      <c r="L245" s="699"/>
    </row>
    <row r="246" spans="1:12" s="681" customFormat="1" ht="24.95" customHeight="1" outlineLevel="3">
      <c r="A246" s="696">
        <v>9</v>
      </c>
      <c r="B246" s="696" t="s">
        <v>1825</v>
      </c>
      <c r="C246" s="696" t="s">
        <v>382</v>
      </c>
      <c r="D246" s="697" t="s">
        <v>430</v>
      </c>
      <c r="E246" s="698" t="s">
        <v>2172</v>
      </c>
      <c r="F246" s="710" t="s">
        <v>1169</v>
      </c>
      <c r="G246" s="705" t="s">
        <v>2220</v>
      </c>
      <c r="H246" s="705"/>
      <c r="I246" s="711">
        <v>700</v>
      </c>
      <c r="J246" s="712">
        <v>1</v>
      </c>
      <c r="K246" s="703">
        <f t="shared" si="26"/>
        <v>700</v>
      </c>
      <c r="L246" s="699"/>
    </row>
    <row r="247" spans="1:12" s="681" customFormat="1" ht="24.95" customHeight="1" outlineLevel="3">
      <c r="A247" s="696">
        <v>9</v>
      </c>
      <c r="B247" s="696" t="s">
        <v>1825</v>
      </c>
      <c r="C247" s="696" t="s">
        <v>382</v>
      </c>
      <c r="D247" s="697" t="s">
        <v>430</v>
      </c>
      <c r="E247" s="698" t="s">
        <v>2172</v>
      </c>
      <c r="F247" s="710" t="s">
        <v>1175</v>
      </c>
      <c r="G247" s="705" t="s">
        <v>1175</v>
      </c>
      <c r="H247" s="705" t="s">
        <v>2187</v>
      </c>
      <c r="I247" s="711">
        <v>13000</v>
      </c>
      <c r="J247" s="712">
        <v>3</v>
      </c>
      <c r="K247" s="703">
        <f t="shared" si="26"/>
        <v>39000</v>
      </c>
      <c r="L247" s="699"/>
    </row>
    <row r="248" spans="1:12" s="681" customFormat="1" ht="24.95" customHeight="1" outlineLevel="3">
      <c r="A248" s="696">
        <v>9</v>
      </c>
      <c r="B248" s="696" t="s">
        <v>1825</v>
      </c>
      <c r="C248" s="696" t="s">
        <v>382</v>
      </c>
      <c r="D248" s="697" t="s">
        <v>430</v>
      </c>
      <c r="E248" s="698" t="s">
        <v>2172</v>
      </c>
      <c r="F248" s="710" t="s">
        <v>2188</v>
      </c>
      <c r="G248" s="705" t="s">
        <v>2188</v>
      </c>
      <c r="H248" s="714" t="s">
        <v>2189</v>
      </c>
      <c r="I248" s="713">
        <v>9000</v>
      </c>
      <c r="J248" s="712">
        <v>3</v>
      </c>
      <c r="K248" s="703">
        <f t="shared" si="26"/>
        <v>27000</v>
      </c>
      <c r="L248" s="699"/>
    </row>
    <row r="249" spans="1:12" s="681" customFormat="1" ht="24.95" customHeight="1" outlineLevel="3">
      <c r="A249" s="696">
        <v>9</v>
      </c>
      <c r="B249" s="696" t="s">
        <v>1825</v>
      </c>
      <c r="C249" s="696" t="s">
        <v>382</v>
      </c>
      <c r="D249" s="697" t="s">
        <v>430</v>
      </c>
      <c r="E249" s="698" t="s">
        <v>2172</v>
      </c>
      <c r="F249" s="710" t="s">
        <v>2200</v>
      </c>
      <c r="G249" s="705" t="s">
        <v>2200</v>
      </c>
      <c r="H249" s="705"/>
      <c r="I249" s="711">
        <v>5000</v>
      </c>
      <c r="J249" s="712">
        <v>2</v>
      </c>
      <c r="K249" s="703">
        <f t="shared" si="26"/>
        <v>10000</v>
      </c>
      <c r="L249" s="699"/>
    </row>
    <row r="250" spans="1:12" s="681" customFormat="1" ht="24.95" customHeight="1" outlineLevel="3">
      <c r="A250" s="696">
        <v>9</v>
      </c>
      <c r="B250" s="696" t="s">
        <v>1825</v>
      </c>
      <c r="C250" s="696" t="s">
        <v>382</v>
      </c>
      <c r="D250" s="697" t="s">
        <v>430</v>
      </c>
      <c r="E250" s="698" t="s">
        <v>2172</v>
      </c>
      <c r="F250" s="705" t="s">
        <v>2190</v>
      </c>
      <c r="G250" s="705" t="s">
        <v>2191</v>
      </c>
      <c r="H250" s="705"/>
      <c r="I250" s="711">
        <v>7300</v>
      </c>
      <c r="J250" s="712">
        <v>3</v>
      </c>
      <c r="K250" s="703">
        <f t="shared" si="26"/>
        <v>21900</v>
      </c>
      <c r="L250" s="699"/>
    </row>
    <row r="251" spans="1:12" s="681" customFormat="1" ht="24.95" customHeight="1" outlineLevel="3">
      <c r="A251" s="696">
        <v>9</v>
      </c>
      <c r="B251" s="696" t="s">
        <v>1825</v>
      </c>
      <c r="C251" s="696" t="s">
        <v>382</v>
      </c>
      <c r="D251" s="697" t="s">
        <v>430</v>
      </c>
      <c r="E251" s="698" t="s">
        <v>2172</v>
      </c>
      <c r="F251" s="705" t="s">
        <v>2190</v>
      </c>
      <c r="G251" s="705" t="s">
        <v>2192</v>
      </c>
      <c r="H251" s="705"/>
      <c r="I251" s="711">
        <v>12000</v>
      </c>
      <c r="J251" s="712">
        <v>3</v>
      </c>
      <c r="K251" s="703">
        <f t="shared" si="26"/>
        <v>36000</v>
      </c>
      <c r="L251" s="699"/>
    </row>
    <row r="252" spans="1:12" s="681" customFormat="1" ht="24.95" customHeight="1" outlineLevel="3">
      <c r="A252" s="696">
        <v>9</v>
      </c>
      <c r="B252" s="696" t="s">
        <v>1825</v>
      </c>
      <c r="C252" s="696" t="s">
        <v>382</v>
      </c>
      <c r="D252" s="697" t="s">
        <v>430</v>
      </c>
      <c r="E252" s="698" t="s">
        <v>2172</v>
      </c>
      <c r="F252" s="715" t="s">
        <v>1172</v>
      </c>
      <c r="G252" s="705" t="s">
        <v>2193</v>
      </c>
      <c r="H252" s="705"/>
      <c r="I252" s="713">
        <v>10000</v>
      </c>
      <c r="J252" s="712">
        <v>3</v>
      </c>
      <c r="K252" s="703">
        <f t="shared" si="26"/>
        <v>30000</v>
      </c>
      <c r="L252" s="699"/>
    </row>
    <row r="253" spans="1:12" s="681" customFormat="1" ht="24.95" customHeight="1" outlineLevel="3">
      <c r="A253" s="696">
        <v>9</v>
      </c>
      <c r="B253" s="696" t="s">
        <v>1825</v>
      </c>
      <c r="C253" s="696" t="s">
        <v>382</v>
      </c>
      <c r="D253" s="697" t="s">
        <v>430</v>
      </c>
      <c r="E253" s="698" t="s">
        <v>2172</v>
      </c>
      <c r="F253" s="705" t="s">
        <v>2194</v>
      </c>
      <c r="G253" s="705" t="s">
        <v>2194</v>
      </c>
      <c r="H253" s="705"/>
      <c r="I253" s="713">
        <v>1200</v>
      </c>
      <c r="J253" s="712">
        <v>3</v>
      </c>
      <c r="K253" s="703">
        <f t="shared" si="26"/>
        <v>3600</v>
      </c>
      <c r="L253" s="699"/>
    </row>
    <row r="254" spans="1:12" s="681" customFormat="1" ht="24.95" customHeight="1" outlineLevel="3">
      <c r="A254" s="696">
        <v>9</v>
      </c>
      <c r="B254" s="696" t="s">
        <v>1825</v>
      </c>
      <c r="C254" s="696" t="s">
        <v>382</v>
      </c>
      <c r="D254" s="697" t="s">
        <v>430</v>
      </c>
      <c r="E254" s="698" t="s">
        <v>2172</v>
      </c>
      <c r="F254" s="705" t="s">
        <v>2195</v>
      </c>
      <c r="G254" s="705" t="s">
        <v>2195</v>
      </c>
      <c r="H254" s="705"/>
      <c r="I254" s="713">
        <v>1400</v>
      </c>
      <c r="J254" s="712">
        <v>3</v>
      </c>
      <c r="K254" s="703">
        <f t="shared" si="26"/>
        <v>4200</v>
      </c>
      <c r="L254" s="699"/>
    </row>
    <row r="255" spans="1:12" s="681" customFormat="1" ht="24.95" customHeight="1" outlineLevel="1">
      <c r="A255" s="688"/>
      <c r="B255" s="688"/>
      <c r="C255" s="688"/>
      <c r="D255" s="689" t="s">
        <v>2249</v>
      </c>
      <c r="E255" s="690"/>
      <c r="F255" s="706"/>
      <c r="G255" s="707"/>
      <c r="H255" s="692"/>
      <c r="I255" s="708"/>
      <c r="J255" s="709"/>
      <c r="K255" s="695">
        <f>SUBTOTAL(9,K256:K271)</f>
        <v>258700</v>
      </c>
      <c r="L255" s="691"/>
    </row>
    <row r="256" spans="1:12" s="681" customFormat="1" ht="24.95" customHeight="1" outlineLevel="3">
      <c r="A256" s="696">
        <v>10</v>
      </c>
      <c r="B256" s="696" t="s">
        <v>1825</v>
      </c>
      <c r="C256" s="696" t="s">
        <v>382</v>
      </c>
      <c r="D256" s="697" t="s">
        <v>431</v>
      </c>
      <c r="E256" s="698" t="s">
        <v>2172</v>
      </c>
      <c r="F256" s="710" t="s">
        <v>1169</v>
      </c>
      <c r="G256" s="705" t="s">
        <v>2178</v>
      </c>
      <c r="H256" s="700" t="s">
        <v>2179</v>
      </c>
      <c r="I256" s="711">
        <v>650</v>
      </c>
      <c r="J256" s="712">
        <v>15</v>
      </c>
      <c r="K256" s="703">
        <f t="shared" ref="K256:K271" si="27">I256*J256</f>
        <v>9750</v>
      </c>
      <c r="L256" s="699"/>
    </row>
    <row r="257" spans="1:12" s="681" customFormat="1" ht="24.95" customHeight="1" outlineLevel="3">
      <c r="A257" s="696">
        <v>10</v>
      </c>
      <c r="B257" s="696" t="s">
        <v>1825</v>
      </c>
      <c r="C257" s="696" t="s">
        <v>382</v>
      </c>
      <c r="D257" s="697" t="s">
        <v>431</v>
      </c>
      <c r="E257" s="698" t="s">
        <v>2172</v>
      </c>
      <c r="F257" s="710" t="s">
        <v>1169</v>
      </c>
      <c r="G257" s="705" t="s">
        <v>2180</v>
      </c>
      <c r="H257" s="700" t="s">
        <v>2179</v>
      </c>
      <c r="I257" s="711">
        <v>650</v>
      </c>
      <c r="J257" s="712">
        <v>15</v>
      </c>
      <c r="K257" s="703">
        <f t="shared" si="27"/>
        <v>9750</v>
      </c>
      <c r="L257" s="699"/>
    </row>
    <row r="258" spans="1:12" s="681" customFormat="1" ht="24.95" customHeight="1" outlineLevel="3">
      <c r="A258" s="696">
        <v>10</v>
      </c>
      <c r="B258" s="696" t="s">
        <v>1825</v>
      </c>
      <c r="C258" s="696" t="s">
        <v>382</v>
      </c>
      <c r="D258" s="697" t="s">
        <v>431</v>
      </c>
      <c r="E258" s="698" t="s">
        <v>2172</v>
      </c>
      <c r="F258" s="710" t="s">
        <v>1169</v>
      </c>
      <c r="G258" s="705" t="s">
        <v>2215</v>
      </c>
      <c r="H258" s="705" t="s">
        <v>2216</v>
      </c>
      <c r="I258" s="711">
        <v>380</v>
      </c>
      <c r="J258" s="712">
        <v>90</v>
      </c>
      <c r="K258" s="703">
        <f t="shared" si="27"/>
        <v>34200</v>
      </c>
      <c r="L258" s="699"/>
    </row>
    <row r="259" spans="1:12" s="681" customFormat="1" ht="24.95" customHeight="1" outlineLevel="3">
      <c r="A259" s="696">
        <v>10</v>
      </c>
      <c r="B259" s="696" t="s">
        <v>1825</v>
      </c>
      <c r="C259" s="696" t="s">
        <v>382</v>
      </c>
      <c r="D259" s="697" t="s">
        <v>431</v>
      </c>
      <c r="E259" s="698" t="s">
        <v>2172</v>
      </c>
      <c r="F259" s="710" t="s">
        <v>1169</v>
      </c>
      <c r="G259" s="705" t="s">
        <v>2181</v>
      </c>
      <c r="H259" s="705" t="s">
        <v>2182</v>
      </c>
      <c r="I259" s="713">
        <v>2400</v>
      </c>
      <c r="J259" s="712">
        <v>3</v>
      </c>
      <c r="K259" s="703">
        <f t="shared" si="27"/>
        <v>7200</v>
      </c>
      <c r="L259" s="699"/>
    </row>
    <row r="260" spans="1:12" s="681" customFormat="1" ht="24.95" customHeight="1" outlineLevel="3">
      <c r="A260" s="696">
        <v>10</v>
      </c>
      <c r="B260" s="696" t="s">
        <v>1825</v>
      </c>
      <c r="C260" s="696" t="s">
        <v>382</v>
      </c>
      <c r="D260" s="697" t="s">
        <v>431</v>
      </c>
      <c r="E260" s="698" t="s">
        <v>2172</v>
      </c>
      <c r="F260" s="710" t="s">
        <v>1169</v>
      </c>
      <c r="G260" s="705" t="s">
        <v>2183</v>
      </c>
      <c r="H260" s="705" t="s">
        <v>2184</v>
      </c>
      <c r="I260" s="711">
        <v>700</v>
      </c>
      <c r="J260" s="712">
        <v>3</v>
      </c>
      <c r="K260" s="703">
        <f t="shared" si="27"/>
        <v>2100</v>
      </c>
      <c r="L260" s="699"/>
    </row>
    <row r="261" spans="1:12" s="681" customFormat="1" ht="24.95" customHeight="1" outlineLevel="3">
      <c r="A261" s="696">
        <v>10</v>
      </c>
      <c r="B261" s="696" t="s">
        <v>1825</v>
      </c>
      <c r="C261" s="696" t="s">
        <v>382</v>
      </c>
      <c r="D261" s="697" t="s">
        <v>431</v>
      </c>
      <c r="E261" s="698" t="s">
        <v>2172</v>
      </c>
      <c r="F261" s="710" t="s">
        <v>1169</v>
      </c>
      <c r="G261" s="705" t="s">
        <v>2185</v>
      </c>
      <c r="H261" s="705" t="s">
        <v>2186</v>
      </c>
      <c r="I261" s="711">
        <v>6000</v>
      </c>
      <c r="J261" s="712">
        <v>3</v>
      </c>
      <c r="K261" s="703">
        <f t="shared" si="27"/>
        <v>18000</v>
      </c>
      <c r="L261" s="699"/>
    </row>
    <row r="262" spans="1:12" s="681" customFormat="1" ht="24.95" customHeight="1" outlineLevel="3">
      <c r="A262" s="696">
        <v>10</v>
      </c>
      <c r="B262" s="696" t="s">
        <v>1825</v>
      </c>
      <c r="C262" s="696" t="s">
        <v>382</v>
      </c>
      <c r="D262" s="697" t="s">
        <v>431</v>
      </c>
      <c r="E262" s="698" t="s">
        <v>2172</v>
      </c>
      <c r="F262" s="710" t="s">
        <v>1169</v>
      </c>
      <c r="G262" s="705" t="s">
        <v>2198</v>
      </c>
      <c r="H262" s="705"/>
      <c r="I262" s="711">
        <v>1600</v>
      </c>
      <c r="J262" s="712">
        <v>2</v>
      </c>
      <c r="K262" s="703">
        <f t="shared" si="27"/>
        <v>3200</v>
      </c>
      <c r="L262" s="699"/>
    </row>
    <row r="263" spans="1:12" s="681" customFormat="1" ht="24.95" customHeight="1" outlineLevel="3">
      <c r="A263" s="696">
        <v>10</v>
      </c>
      <c r="B263" s="696" t="s">
        <v>1825</v>
      </c>
      <c r="C263" s="696" t="s">
        <v>382</v>
      </c>
      <c r="D263" s="697" t="s">
        <v>431</v>
      </c>
      <c r="E263" s="698" t="s">
        <v>2172</v>
      </c>
      <c r="F263" s="710" t="s">
        <v>1169</v>
      </c>
      <c r="G263" s="705" t="s">
        <v>2220</v>
      </c>
      <c r="H263" s="705"/>
      <c r="I263" s="711">
        <v>700</v>
      </c>
      <c r="J263" s="712">
        <v>1</v>
      </c>
      <c r="K263" s="703">
        <f t="shared" si="27"/>
        <v>700</v>
      </c>
      <c r="L263" s="699"/>
    </row>
    <row r="264" spans="1:12" s="681" customFormat="1" ht="24.95" customHeight="1" outlineLevel="3">
      <c r="A264" s="696">
        <v>10</v>
      </c>
      <c r="B264" s="696" t="s">
        <v>1825</v>
      </c>
      <c r="C264" s="696" t="s">
        <v>382</v>
      </c>
      <c r="D264" s="697" t="s">
        <v>431</v>
      </c>
      <c r="E264" s="698" t="s">
        <v>2172</v>
      </c>
      <c r="F264" s="710" t="s">
        <v>1175</v>
      </c>
      <c r="G264" s="705" t="s">
        <v>1175</v>
      </c>
      <c r="H264" s="705" t="s">
        <v>2187</v>
      </c>
      <c r="I264" s="711">
        <v>13000</v>
      </c>
      <c r="J264" s="712">
        <v>3</v>
      </c>
      <c r="K264" s="703">
        <f t="shared" si="27"/>
        <v>39000</v>
      </c>
      <c r="L264" s="699"/>
    </row>
    <row r="265" spans="1:12" s="681" customFormat="1" ht="24.95" customHeight="1" outlineLevel="3">
      <c r="A265" s="696">
        <v>10</v>
      </c>
      <c r="B265" s="696" t="s">
        <v>1825</v>
      </c>
      <c r="C265" s="696" t="s">
        <v>382</v>
      </c>
      <c r="D265" s="697" t="s">
        <v>431</v>
      </c>
      <c r="E265" s="698" t="s">
        <v>2172</v>
      </c>
      <c r="F265" s="710" t="s">
        <v>2188</v>
      </c>
      <c r="G265" s="705" t="s">
        <v>2188</v>
      </c>
      <c r="H265" s="714" t="s">
        <v>2189</v>
      </c>
      <c r="I265" s="713">
        <v>9000</v>
      </c>
      <c r="J265" s="712">
        <v>3</v>
      </c>
      <c r="K265" s="703">
        <f t="shared" si="27"/>
        <v>27000</v>
      </c>
      <c r="L265" s="699"/>
    </row>
    <row r="266" spans="1:12" s="681" customFormat="1" ht="24.95" customHeight="1" outlineLevel="3">
      <c r="A266" s="696">
        <v>10</v>
      </c>
      <c r="B266" s="696" t="s">
        <v>1825</v>
      </c>
      <c r="C266" s="696" t="s">
        <v>382</v>
      </c>
      <c r="D266" s="697" t="s">
        <v>431</v>
      </c>
      <c r="E266" s="698" t="s">
        <v>2172</v>
      </c>
      <c r="F266" s="710" t="s">
        <v>2200</v>
      </c>
      <c r="G266" s="705" t="s">
        <v>2200</v>
      </c>
      <c r="H266" s="705"/>
      <c r="I266" s="711">
        <v>5000</v>
      </c>
      <c r="J266" s="712">
        <v>2</v>
      </c>
      <c r="K266" s="703">
        <f t="shared" si="27"/>
        <v>10000</v>
      </c>
      <c r="L266" s="699"/>
    </row>
    <row r="267" spans="1:12" s="681" customFormat="1" ht="24.95" customHeight="1" outlineLevel="3">
      <c r="A267" s="696">
        <v>10</v>
      </c>
      <c r="B267" s="696" t="s">
        <v>1825</v>
      </c>
      <c r="C267" s="696" t="s">
        <v>382</v>
      </c>
      <c r="D267" s="697" t="s">
        <v>431</v>
      </c>
      <c r="E267" s="698" t="s">
        <v>2172</v>
      </c>
      <c r="F267" s="705" t="s">
        <v>2190</v>
      </c>
      <c r="G267" s="705" t="s">
        <v>2218</v>
      </c>
      <c r="H267" s="705"/>
      <c r="I267" s="711">
        <v>8000</v>
      </c>
      <c r="J267" s="712">
        <v>3</v>
      </c>
      <c r="K267" s="703">
        <f t="shared" si="27"/>
        <v>24000</v>
      </c>
      <c r="L267" s="699"/>
    </row>
    <row r="268" spans="1:12" s="681" customFormat="1" ht="24.95" customHeight="1" outlineLevel="3">
      <c r="A268" s="696">
        <v>10</v>
      </c>
      <c r="B268" s="696" t="s">
        <v>1825</v>
      </c>
      <c r="C268" s="696" t="s">
        <v>382</v>
      </c>
      <c r="D268" s="697" t="s">
        <v>431</v>
      </c>
      <c r="E268" s="698" t="s">
        <v>2172</v>
      </c>
      <c r="F268" s="705" t="s">
        <v>2190</v>
      </c>
      <c r="G268" s="705" t="s">
        <v>2192</v>
      </c>
      <c r="H268" s="705"/>
      <c r="I268" s="711">
        <v>12000</v>
      </c>
      <c r="J268" s="712">
        <v>3</v>
      </c>
      <c r="K268" s="703">
        <f t="shared" si="27"/>
        <v>36000</v>
      </c>
      <c r="L268" s="699"/>
    </row>
    <row r="269" spans="1:12" s="681" customFormat="1" ht="24.95" customHeight="1" outlineLevel="3">
      <c r="A269" s="696">
        <v>10</v>
      </c>
      <c r="B269" s="696" t="s">
        <v>1825</v>
      </c>
      <c r="C269" s="696" t="s">
        <v>382</v>
      </c>
      <c r="D269" s="697" t="s">
        <v>431</v>
      </c>
      <c r="E269" s="698" t="s">
        <v>2172</v>
      </c>
      <c r="F269" s="715" t="s">
        <v>1172</v>
      </c>
      <c r="G269" s="705" t="s">
        <v>2193</v>
      </c>
      <c r="H269" s="705"/>
      <c r="I269" s="713">
        <v>10000</v>
      </c>
      <c r="J269" s="712">
        <v>3</v>
      </c>
      <c r="K269" s="703">
        <f t="shared" si="27"/>
        <v>30000</v>
      </c>
      <c r="L269" s="699"/>
    </row>
    <row r="270" spans="1:12" s="681" customFormat="1" ht="24.95" customHeight="1" outlineLevel="3">
      <c r="A270" s="696">
        <v>10</v>
      </c>
      <c r="B270" s="696" t="s">
        <v>1825</v>
      </c>
      <c r="C270" s="696" t="s">
        <v>382</v>
      </c>
      <c r="D270" s="697" t="s">
        <v>431</v>
      </c>
      <c r="E270" s="698" t="s">
        <v>2172</v>
      </c>
      <c r="F270" s="705" t="s">
        <v>2194</v>
      </c>
      <c r="G270" s="705" t="s">
        <v>2194</v>
      </c>
      <c r="H270" s="705"/>
      <c r="I270" s="713">
        <v>1200</v>
      </c>
      <c r="J270" s="712">
        <v>3</v>
      </c>
      <c r="K270" s="703">
        <f t="shared" si="27"/>
        <v>3600</v>
      </c>
      <c r="L270" s="699"/>
    </row>
    <row r="271" spans="1:12" s="681" customFormat="1" ht="24.95" customHeight="1" outlineLevel="3">
      <c r="A271" s="696">
        <v>10</v>
      </c>
      <c r="B271" s="696" t="s">
        <v>1825</v>
      </c>
      <c r="C271" s="696" t="s">
        <v>382</v>
      </c>
      <c r="D271" s="697" t="s">
        <v>431</v>
      </c>
      <c r="E271" s="698" t="s">
        <v>2172</v>
      </c>
      <c r="F271" s="705" t="s">
        <v>2195</v>
      </c>
      <c r="G271" s="705" t="s">
        <v>2195</v>
      </c>
      <c r="H271" s="705"/>
      <c r="I271" s="713">
        <v>1400</v>
      </c>
      <c r="J271" s="712">
        <v>3</v>
      </c>
      <c r="K271" s="703">
        <f t="shared" si="27"/>
        <v>4200</v>
      </c>
      <c r="L271" s="699"/>
    </row>
    <row r="272" spans="1:12" s="681" customFormat="1" ht="24.95" customHeight="1" outlineLevel="1">
      <c r="A272" s="688"/>
      <c r="B272" s="688"/>
      <c r="C272" s="688"/>
      <c r="D272" s="689" t="s">
        <v>2250</v>
      </c>
      <c r="E272" s="690"/>
      <c r="F272" s="706"/>
      <c r="G272" s="707"/>
      <c r="H272" s="692"/>
      <c r="I272" s="708"/>
      <c r="J272" s="709"/>
      <c r="K272" s="695">
        <f>SUBTOTAL(9,K273:K285)</f>
        <v>80900</v>
      </c>
      <c r="L272" s="691"/>
    </row>
    <row r="273" spans="1:12" s="681" customFormat="1" ht="24.95" customHeight="1" outlineLevel="3">
      <c r="A273" s="696">
        <v>11</v>
      </c>
      <c r="B273" s="696" t="s">
        <v>1825</v>
      </c>
      <c r="C273" s="696" t="s">
        <v>382</v>
      </c>
      <c r="D273" s="697" t="s">
        <v>433</v>
      </c>
      <c r="E273" s="698" t="s">
        <v>2172</v>
      </c>
      <c r="F273" s="710" t="s">
        <v>1169</v>
      </c>
      <c r="G273" s="705" t="s">
        <v>2178</v>
      </c>
      <c r="H273" s="700" t="s">
        <v>2179</v>
      </c>
      <c r="I273" s="711">
        <v>650</v>
      </c>
      <c r="J273" s="712">
        <v>5</v>
      </c>
      <c r="K273" s="703">
        <f t="shared" ref="K273:K285" si="28">I273*J273</f>
        <v>3250</v>
      </c>
      <c r="L273" s="699"/>
    </row>
    <row r="274" spans="1:12" s="681" customFormat="1" ht="24.95" customHeight="1" outlineLevel="3">
      <c r="A274" s="696">
        <v>11</v>
      </c>
      <c r="B274" s="696" t="s">
        <v>1825</v>
      </c>
      <c r="C274" s="696" t="s">
        <v>382</v>
      </c>
      <c r="D274" s="697" t="s">
        <v>433</v>
      </c>
      <c r="E274" s="698" t="s">
        <v>2172</v>
      </c>
      <c r="F274" s="710" t="s">
        <v>1169</v>
      </c>
      <c r="G274" s="705" t="s">
        <v>2180</v>
      </c>
      <c r="H274" s="700" t="s">
        <v>2179</v>
      </c>
      <c r="I274" s="711">
        <v>650</v>
      </c>
      <c r="J274" s="712">
        <v>5</v>
      </c>
      <c r="K274" s="703">
        <f t="shared" si="28"/>
        <v>3250</v>
      </c>
      <c r="L274" s="699"/>
    </row>
    <row r="275" spans="1:12" s="681" customFormat="1" ht="24.95" customHeight="1" outlineLevel="3">
      <c r="A275" s="696">
        <v>11</v>
      </c>
      <c r="B275" s="696" t="s">
        <v>1825</v>
      </c>
      <c r="C275" s="696" t="s">
        <v>382</v>
      </c>
      <c r="D275" s="697" t="s">
        <v>433</v>
      </c>
      <c r="E275" s="698" t="s">
        <v>2172</v>
      </c>
      <c r="F275" s="710" t="s">
        <v>1169</v>
      </c>
      <c r="G275" s="705" t="s">
        <v>2215</v>
      </c>
      <c r="H275" s="705" t="s">
        <v>2216</v>
      </c>
      <c r="I275" s="711">
        <v>380</v>
      </c>
      <c r="J275" s="712">
        <v>30</v>
      </c>
      <c r="K275" s="703">
        <f t="shared" si="28"/>
        <v>11400</v>
      </c>
      <c r="L275" s="699"/>
    </row>
    <row r="276" spans="1:12" s="681" customFormat="1" ht="24.95" customHeight="1" outlineLevel="3">
      <c r="A276" s="696">
        <v>11</v>
      </c>
      <c r="B276" s="696" t="s">
        <v>1825</v>
      </c>
      <c r="C276" s="696" t="s">
        <v>382</v>
      </c>
      <c r="D276" s="697" t="s">
        <v>433</v>
      </c>
      <c r="E276" s="698" t="s">
        <v>2172</v>
      </c>
      <c r="F276" s="710" t="s">
        <v>1169</v>
      </c>
      <c r="G276" s="705" t="s">
        <v>2181</v>
      </c>
      <c r="H276" s="705" t="s">
        <v>2182</v>
      </c>
      <c r="I276" s="713">
        <v>2400</v>
      </c>
      <c r="J276" s="712">
        <v>1</v>
      </c>
      <c r="K276" s="703">
        <f t="shared" si="28"/>
        <v>2400</v>
      </c>
      <c r="L276" s="699"/>
    </row>
    <row r="277" spans="1:12" s="681" customFormat="1" ht="24.95" customHeight="1" outlineLevel="3">
      <c r="A277" s="696">
        <v>11</v>
      </c>
      <c r="B277" s="696" t="s">
        <v>1825</v>
      </c>
      <c r="C277" s="696" t="s">
        <v>382</v>
      </c>
      <c r="D277" s="697" t="s">
        <v>433</v>
      </c>
      <c r="E277" s="698" t="s">
        <v>2172</v>
      </c>
      <c r="F277" s="710" t="s">
        <v>1169</v>
      </c>
      <c r="G277" s="705" t="s">
        <v>2183</v>
      </c>
      <c r="H277" s="705" t="s">
        <v>2184</v>
      </c>
      <c r="I277" s="711">
        <v>700</v>
      </c>
      <c r="J277" s="712">
        <v>1</v>
      </c>
      <c r="K277" s="703">
        <f t="shared" si="28"/>
        <v>700</v>
      </c>
      <c r="L277" s="699"/>
    </row>
    <row r="278" spans="1:12" s="681" customFormat="1" ht="24.95" customHeight="1" outlineLevel="3">
      <c r="A278" s="696">
        <v>11</v>
      </c>
      <c r="B278" s="696" t="s">
        <v>1825</v>
      </c>
      <c r="C278" s="696" t="s">
        <v>382</v>
      </c>
      <c r="D278" s="697" t="s">
        <v>433</v>
      </c>
      <c r="E278" s="698" t="s">
        <v>2172</v>
      </c>
      <c r="F278" s="710" t="s">
        <v>1169</v>
      </c>
      <c r="G278" s="705" t="s">
        <v>2185</v>
      </c>
      <c r="H278" s="705" t="s">
        <v>2186</v>
      </c>
      <c r="I278" s="711">
        <v>6000</v>
      </c>
      <c r="J278" s="712">
        <v>1</v>
      </c>
      <c r="K278" s="703">
        <f t="shared" si="28"/>
        <v>6000</v>
      </c>
      <c r="L278" s="699"/>
    </row>
    <row r="279" spans="1:12" s="681" customFormat="1" ht="24.95" customHeight="1" outlineLevel="3">
      <c r="A279" s="696">
        <v>11</v>
      </c>
      <c r="B279" s="696" t="s">
        <v>1825</v>
      </c>
      <c r="C279" s="696" t="s">
        <v>382</v>
      </c>
      <c r="D279" s="697" t="s">
        <v>433</v>
      </c>
      <c r="E279" s="698" t="s">
        <v>2172</v>
      </c>
      <c r="F279" s="710" t="s">
        <v>1175</v>
      </c>
      <c r="G279" s="705" t="s">
        <v>1175</v>
      </c>
      <c r="H279" s="705" t="s">
        <v>2187</v>
      </c>
      <c r="I279" s="711">
        <v>13000</v>
      </c>
      <c r="J279" s="712">
        <v>1</v>
      </c>
      <c r="K279" s="703">
        <f t="shared" si="28"/>
        <v>13000</v>
      </c>
      <c r="L279" s="699"/>
    </row>
    <row r="280" spans="1:12" s="681" customFormat="1" ht="24.95" customHeight="1" outlineLevel="3">
      <c r="A280" s="696">
        <v>11</v>
      </c>
      <c r="B280" s="696" t="s">
        <v>1825</v>
      </c>
      <c r="C280" s="696" t="s">
        <v>382</v>
      </c>
      <c r="D280" s="697" t="s">
        <v>433</v>
      </c>
      <c r="E280" s="698" t="s">
        <v>2172</v>
      </c>
      <c r="F280" s="710" t="s">
        <v>2188</v>
      </c>
      <c r="G280" s="705" t="s">
        <v>2188</v>
      </c>
      <c r="H280" s="714" t="s">
        <v>2189</v>
      </c>
      <c r="I280" s="713">
        <v>9000</v>
      </c>
      <c r="J280" s="712">
        <v>1</v>
      </c>
      <c r="K280" s="703">
        <f t="shared" si="28"/>
        <v>9000</v>
      </c>
      <c r="L280" s="699"/>
    </row>
    <row r="281" spans="1:12" s="681" customFormat="1" ht="24.95" customHeight="1" outlineLevel="3">
      <c r="A281" s="696">
        <v>11</v>
      </c>
      <c r="B281" s="696" t="s">
        <v>1825</v>
      </c>
      <c r="C281" s="696" t="s">
        <v>382</v>
      </c>
      <c r="D281" s="697" t="s">
        <v>433</v>
      </c>
      <c r="E281" s="698" t="s">
        <v>2172</v>
      </c>
      <c r="F281" s="705" t="s">
        <v>2190</v>
      </c>
      <c r="G281" s="705" t="s">
        <v>2191</v>
      </c>
      <c r="H281" s="705"/>
      <c r="I281" s="711">
        <v>7300</v>
      </c>
      <c r="J281" s="712">
        <v>1</v>
      </c>
      <c r="K281" s="703">
        <f t="shared" si="28"/>
        <v>7300</v>
      </c>
      <c r="L281" s="699"/>
    </row>
    <row r="282" spans="1:12" s="681" customFormat="1" ht="24.95" customHeight="1" outlineLevel="3">
      <c r="A282" s="696">
        <v>11</v>
      </c>
      <c r="B282" s="696" t="s">
        <v>1825</v>
      </c>
      <c r="C282" s="696" t="s">
        <v>382</v>
      </c>
      <c r="D282" s="697" t="s">
        <v>433</v>
      </c>
      <c r="E282" s="698" t="s">
        <v>2172</v>
      </c>
      <c r="F282" s="705" t="s">
        <v>2190</v>
      </c>
      <c r="G282" s="705" t="s">
        <v>2192</v>
      </c>
      <c r="H282" s="705"/>
      <c r="I282" s="711">
        <v>12000</v>
      </c>
      <c r="J282" s="712">
        <v>1</v>
      </c>
      <c r="K282" s="703">
        <f t="shared" si="28"/>
        <v>12000</v>
      </c>
      <c r="L282" s="699"/>
    </row>
    <row r="283" spans="1:12" s="681" customFormat="1" ht="24.95" customHeight="1" outlineLevel="3">
      <c r="A283" s="696">
        <v>11</v>
      </c>
      <c r="B283" s="696" t="s">
        <v>1825</v>
      </c>
      <c r="C283" s="696" t="s">
        <v>382</v>
      </c>
      <c r="D283" s="697" t="s">
        <v>433</v>
      </c>
      <c r="E283" s="698" t="s">
        <v>2172</v>
      </c>
      <c r="F283" s="715" t="s">
        <v>1172</v>
      </c>
      <c r="G283" s="705" t="s">
        <v>2193</v>
      </c>
      <c r="H283" s="705"/>
      <c r="I283" s="713">
        <v>10000</v>
      </c>
      <c r="J283" s="712">
        <v>1</v>
      </c>
      <c r="K283" s="703">
        <f t="shared" si="28"/>
        <v>10000</v>
      </c>
      <c r="L283" s="699"/>
    </row>
    <row r="284" spans="1:12" s="681" customFormat="1" ht="24.95" customHeight="1" outlineLevel="3">
      <c r="A284" s="696">
        <v>11</v>
      </c>
      <c r="B284" s="696" t="s">
        <v>1825</v>
      </c>
      <c r="C284" s="696" t="s">
        <v>382</v>
      </c>
      <c r="D284" s="697" t="s">
        <v>433</v>
      </c>
      <c r="E284" s="698" t="s">
        <v>2172</v>
      </c>
      <c r="F284" s="705" t="s">
        <v>2194</v>
      </c>
      <c r="G284" s="705" t="s">
        <v>2194</v>
      </c>
      <c r="H284" s="705"/>
      <c r="I284" s="713">
        <v>1200</v>
      </c>
      <c r="J284" s="712">
        <v>1</v>
      </c>
      <c r="K284" s="703">
        <f t="shared" si="28"/>
        <v>1200</v>
      </c>
      <c r="L284" s="699"/>
    </row>
    <row r="285" spans="1:12" s="681" customFormat="1" ht="24.95" customHeight="1" outlineLevel="3">
      <c r="A285" s="696">
        <v>11</v>
      </c>
      <c r="B285" s="696" t="s">
        <v>1825</v>
      </c>
      <c r="C285" s="696" t="s">
        <v>382</v>
      </c>
      <c r="D285" s="697" t="s">
        <v>433</v>
      </c>
      <c r="E285" s="698" t="s">
        <v>2172</v>
      </c>
      <c r="F285" s="705" t="s">
        <v>2195</v>
      </c>
      <c r="G285" s="705" t="s">
        <v>2195</v>
      </c>
      <c r="H285" s="705"/>
      <c r="I285" s="713">
        <v>1400</v>
      </c>
      <c r="J285" s="712">
        <v>1</v>
      </c>
      <c r="K285" s="703">
        <f t="shared" si="28"/>
        <v>1400</v>
      </c>
      <c r="L285" s="699"/>
    </row>
    <row r="286" spans="1:12" s="681" customFormat="1" ht="24.95" customHeight="1" outlineLevel="1">
      <c r="A286" s="688"/>
      <c r="B286" s="688"/>
      <c r="C286" s="688"/>
      <c r="D286" s="689" t="s">
        <v>2251</v>
      </c>
      <c r="E286" s="690"/>
      <c r="F286" s="706"/>
      <c r="G286" s="707"/>
      <c r="H286" s="692"/>
      <c r="I286" s="708"/>
      <c r="J286" s="709"/>
      <c r="K286" s="695">
        <f>SUBTOTAL(9,K287:K299)</f>
        <v>80900</v>
      </c>
      <c r="L286" s="691"/>
    </row>
    <row r="287" spans="1:12" s="681" customFormat="1" ht="24.95" customHeight="1" outlineLevel="3">
      <c r="A287" s="696">
        <v>12</v>
      </c>
      <c r="B287" s="696" t="s">
        <v>1825</v>
      </c>
      <c r="C287" s="696" t="s">
        <v>382</v>
      </c>
      <c r="D287" s="697" t="s">
        <v>432</v>
      </c>
      <c r="E287" s="698" t="s">
        <v>2172</v>
      </c>
      <c r="F287" s="710" t="s">
        <v>1169</v>
      </c>
      <c r="G287" s="705" t="s">
        <v>2178</v>
      </c>
      <c r="H287" s="700" t="s">
        <v>2179</v>
      </c>
      <c r="I287" s="711">
        <v>650</v>
      </c>
      <c r="J287" s="712">
        <v>5</v>
      </c>
      <c r="K287" s="703">
        <f t="shared" ref="K287:K299" si="29">I287*J287</f>
        <v>3250</v>
      </c>
      <c r="L287" s="699"/>
    </row>
    <row r="288" spans="1:12" s="681" customFormat="1" ht="24.95" customHeight="1" outlineLevel="3">
      <c r="A288" s="696">
        <v>12</v>
      </c>
      <c r="B288" s="696" t="s">
        <v>1825</v>
      </c>
      <c r="C288" s="696" t="s">
        <v>382</v>
      </c>
      <c r="D288" s="697" t="s">
        <v>432</v>
      </c>
      <c r="E288" s="698" t="s">
        <v>2172</v>
      </c>
      <c r="F288" s="710" t="s">
        <v>1169</v>
      </c>
      <c r="G288" s="705" t="s">
        <v>2180</v>
      </c>
      <c r="H288" s="700" t="s">
        <v>2179</v>
      </c>
      <c r="I288" s="711">
        <v>650</v>
      </c>
      <c r="J288" s="712">
        <v>5</v>
      </c>
      <c r="K288" s="703">
        <f t="shared" si="29"/>
        <v>3250</v>
      </c>
      <c r="L288" s="699"/>
    </row>
    <row r="289" spans="1:12" s="681" customFormat="1" ht="24.95" customHeight="1" outlineLevel="3">
      <c r="A289" s="696">
        <v>12</v>
      </c>
      <c r="B289" s="696" t="s">
        <v>1825</v>
      </c>
      <c r="C289" s="696" t="s">
        <v>382</v>
      </c>
      <c r="D289" s="697" t="s">
        <v>432</v>
      </c>
      <c r="E289" s="698" t="s">
        <v>2172</v>
      </c>
      <c r="F289" s="710" t="s">
        <v>1169</v>
      </c>
      <c r="G289" s="705" t="s">
        <v>2215</v>
      </c>
      <c r="H289" s="705" t="s">
        <v>2216</v>
      </c>
      <c r="I289" s="711">
        <v>380</v>
      </c>
      <c r="J289" s="712">
        <v>30</v>
      </c>
      <c r="K289" s="703">
        <f t="shared" si="29"/>
        <v>11400</v>
      </c>
      <c r="L289" s="699"/>
    </row>
    <row r="290" spans="1:12" s="681" customFormat="1" ht="24.95" customHeight="1" outlineLevel="3">
      <c r="A290" s="696">
        <v>12</v>
      </c>
      <c r="B290" s="696" t="s">
        <v>1825</v>
      </c>
      <c r="C290" s="696" t="s">
        <v>382</v>
      </c>
      <c r="D290" s="697" t="s">
        <v>432</v>
      </c>
      <c r="E290" s="698" t="s">
        <v>2172</v>
      </c>
      <c r="F290" s="710" t="s">
        <v>1169</v>
      </c>
      <c r="G290" s="705" t="s">
        <v>2181</v>
      </c>
      <c r="H290" s="705" t="s">
        <v>2182</v>
      </c>
      <c r="I290" s="713">
        <v>2400</v>
      </c>
      <c r="J290" s="712">
        <v>1</v>
      </c>
      <c r="K290" s="703">
        <f t="shared" si="29"/>
        <v>2400</v>
      </c>
      <c r="L290" s="699"/>
    </row>
    <row r="291" spans="1:12" s="681" customFormat="1" ht="24.95" customHeight="1" outlineLevel="3">
      <c r="A291" s="696">
        <v>12</v>
      </c>
      <c r="B291" s="696" t="s">
        <v>1825</v>
      </c>
      <c r="C291" s="696" t="s">
        <v>382</v>
      </c>
      <c r="D291" s="697" t="s">
        <v>432</v>
      </c>
      <c r="E291" s="698" t="s">
        <v>2172</v>
      </c>
      <c r="F291" s="710" t="s">
        <v>1169</v>
      </c>
      <c r="G291" s="705" t="s">
        <v>2183</v>
      </c>
      <c r="H291" s="705" t="s">
        <v>2184</v>
      </c>
      <c r="I291" s="711">
        <v>700</v>
      </c>
      <c r="J291" s="712">
        <v>1</v>
      </c>
      <c r="K291" s="703">
        <f t="shared" si="29"/>
        <v>700</v>
      </c>
      <c r="L291" s="699"/>
    </row>
    <row r="292" spans="1:12" s="681" customFormat="1" ht="24.95" customHeight="1" outlineLevel="3">
      <c r="A292" s="696">
        <v>12</v>
      </c>
      <c r="B292" s="696" t="s">
        <v>1825</v>
      </c>
      <c r="C292" s="696" t="s">
        <v>382</v>
      </c>
      <c r="D292" s="697" t="s">
        <v>432</v>
      </c>
      <c r="E292" s="698" t="s">
        <v>2172</v>
      </c>
      <c r="F292" s="710" t="s">
        <v>1169</v>
      </c>
      <c r="G292" s="705" t="s">
        <v>2185</v>
      </c>
      <c r="H292" s="705" t="s">
        <v>2186</v>
      </c>
      <c r="I292" s="711">
        <v>6000</v>
      </c>
      <c r="J292" s="712">
        <v>1</v>
      </c>
      <c r="K292" s="703">
        <f t="shared" si="29"/>
        <v>6000</v>
      </c>
      <c r="L292" s="699"/>
    </row>
    <row r="293" spans="1:12" s="681" customFormat="1" ht="24.95" customHeight="1" outlineLevel="3">
      <c r="A293" s="696">
        <v>12</v>
      </c>
      <c r="B293" s="696" t="s">
        <v>1825</v>
      </c>
      <c r="C293" s="696" t="s">
        <v>382</v>
      </c>
      <c r="D293" s="697" t="s">
        <v>432</v>
      </c>
      <c r="E293" s="698" t="s">
        <v>2172</v>
      </c>
      <c r="F293" s="710" t="s">
        <v>1175</v>
      </c>
      <c r="G293" s="705" t="s">
        <v>1175</v>
      </c>
      <c r="H293" s="705" t="s">
        <v>2187</v>
      </c>
      <c r="I293" s="711">
        <v>13000</v>
      </c>
      <c r="J293" s="712">
        <v>1</v>
      </c>
      <c r="K293" s="703">
        <f t="shared" si="29"/>
        <v>13000</v>
      </c>
      <c r="L293" s="699"/>
    </row>
    <row r="294" spans="1:12" s="681" customFormat="1" ht="24.95" customHeight="1" outlineLevel="3">
      <c r="A294" s="696">
        <v>12</v>
      </c>
      <c r="B294" s="696" t="s">
        <v>1825</v>
      </c>
      <c r="C294" s="696" t="s">
        <v>382</v>
      </c>
      <c r="D294" s="697" t="s">
        <v>432</v>
      </c>
      <c r="E294" s="698" t="s">
        <v>2172</v>
      </c>
      <c r="F294" s="710" t="s">
        <v>2188</v>
      </c>
      <c r="G294" s="705" t="s">
        <v>2188</v>
      </c>
      <c r="H294" s="714" t="s">
        <v>2189</v>
      </c>
      <c r="I294" s="713">
        <v>9000</v>
      </c>
      <c r="J294" s="712">
        <v>1</v>
      </c>
      <c r="K294" s="703">
        <f t="shared" si="29"/>
        <v>9000</v>
      </c>
      <c r="L294" s="699"/>
    </row>
    <row r="295" spans="1:12" s="681" customFormat="1" ht="24.95" customHeight="1" outlineLevel="3">
      <c r="A295" s="696">
        <v>12</v>
      </c>
      <c r="B295" s="696" t="s">
        <v>1825</v>
      </c>
      <c r="C295" s="696" t="s">
        <v>382</v>
      </c>
      <c r="D295" s="697" t="s">
        <v>432</v>
      </c>
      <c r="E295" s="698" t="s">
        <v>2172</v>
      </c>
      <c r="F295" s="705" t="s">
        <v>2190</v>
      </c>
      <c r="G295" s="705" t="s">
        <v>2191</v>
      </c>
      <c r="H295" s="705"/>
      <c r="I295" s="711">
        <v>7300</v>
      </c>
      <c r="J295" s="712">
        <v>1</v>
      </c>
      <c r="K295" s="703">
        <f t="shared" si="29"/>
        <v>7300</v>
      </c>
      <c r="L295" s="699"/>
    </row>
    <row r="296" spans="1:12" s="681" customFormat="1" ht="24.95" customHeight="1" outlineLevel="3">
      <c r="A296" s="696">
        <v>12</v>
      </c>
      <c r="B296" s="696" t="s">
        <v>1825</v>
      </c>
      <c r="C296" s="696" t="s">
        <v>382</v>
      </c>
      <c r="D296" s="697" t="s">
        <v>432</v>
      </c>
      <c r="E296" s="698" t="s">
        <v>2172</v>
      </c>
      <c r="F296" s="705" t="s">
        <v>2190</v>
      </c>
      <c r="G296" s="705" t="s">
        <v>2192</v>
      </c>
      <c r="H296" s="705"/>
      <c r="I296" s="711">
        <v>12000</v>
      </c>
      <c r="J296" s="712">
        <v>1</v>
      </c>
      <c r="K296" s="703">
        <f t="shared" si="29"/>
        <v>12000</v>
      </c>
      <c r="L296" s="699"/>
    </row>
    <row r="297" spans="1:12" s="681" customFormat="1" ht="24.95" customHeight="1" outlineLevel="3">
      <c r="A297" s="696">
        <v>12</v>
      </c>
      <c r="B297" s="696" t="s">
        <v>1825</v>
      </c>
      <c r="C297" s="696" t="s">
        <v>382</v>
      </c>
      <c r="D297" s="697" t="s">
        <v>432</v>
      </c>
      <c r="E297" s="698" t="s">
        <v>2172</v>
      </c>
      <c r="F297" s="715" t="s">
        <v>1172</v>
      </c>
      <c r="G297" s="705" t="s">
        <v>2193</v>
      </c>
      <c r="H297" s="705"/>
      <c r="I297" s="713">
        <v>10000</v>
      </c>
      <c r="J297" s="712">
        <v>1</v>
      </c>
      <c r="K297" s="703">
        <f t="shared" si="29"/>
        <v>10000</v>
      </c>
      <c r="L297" s="699"/>
    </row>
    <row r="298" spans="1:12" s="681" customFormat="1" ht="24.95" customHeight="1" outlineLevel="3">
      <c r="A298" s="696">
        <v>12</v>
      </c>
      <c r="B298" s="696" t="s">
        <v>1825</v>
      </c>
      <c r="C298" s="696" t="s">
        <v>382</v>
      </c>
      <c r="D298" s="697" t="s">
        <v>432</v>
      </c>
      <c r="E298" s="698" t="s">
        <v>2172</v>
      </c>
      <c r="F298" s="705" t="s">
        <v>2194</v>
      </c>
      <c r="G298" s="705" t="s">
        <v>2194</v>
      </c>
      <c r="H298" s="705"/>
      <c r="I298" s="713">
        <v>1200</v>
      </c>
      <c r="J298" s="712">
        <v>1</v>
      </c>
      <c r="K298" s="703">
        <f t="shared" si="29"/>
        <v>1200</v>
      </c>
      <c r="L298" s="699"/>
    </row>
    <row r="299" spans="1:12" s="681" customFormat="1" ht="24.95" customHeight="1" outlineLevel="3">
      <c r="A299" s="696">
        <v>12</v>
      </c>
      <c r="B299" s="696" t="s">
        <v>1825</v>
      </c>
      <c r="C299" s="696" t="s">
        <v>382</v>
      </c>
      <c r="D299" s="697" t="s">
        <v>432</v>
      </c>
      <c r="E299" s="698" t="s">
        <v>2172</v>
      </c>
      <c r="F299" s="705" t="s">
        <v>2195</v>
      </c>
      <c r="G299" s="705" t="s">
        <v>2195</v>
      </c>
      <c r="H299" s="705"/>
      <c r="I299" s="713">
        <v>1400</v>
      </c>
      <c r="J299" s="712">
        <v>1</v>
      </c>
      <c r="K299" s="703">
        <f t="shared" si="29"/>
        <v>1400</v>
      </c>
      <c r="L299" s="699"/>
    </row>
    <row r="300" spans="1:12" s="681" customFormat="1" ht="24.95" customHeight="1" outlineLevel="1">
      <c r="A300" s="688"/>
      <c r="B300" s="688"/>
      <c r="C300" s="688"/>
      <c r="D300" s="689" t="s">
        <v>2252</v>
      </c>
      <c r="E300" s="690"/>
      <c r="F300" s="706"/>
      <c r="G300" s="707"/>
      <c r="H300" s="692"/>
      <c r="I300" s="708"/>
      <c r="J300" s="709"/>
      <c r="K300" s="695">
        <f>SUBTOTAL(9,K301:K316)</f>
        <v>351400</v>
      </c>
      <c r="L300" s="691"/>
    </row>
    <row r="301" spans="1:12" s="681" customFormat="1" ht="24.95" customHeight="1" outlineLevel="3">
      <c r="A301" s="696">
        <v>13</v>
      </c>
      <c r="B301" s="696" t="s">
        <v>1825</v>
      </c>
      <c r="C301" s="696" t="s">
        <v>382</v>
      </c>
      <c r="D301" s="697" t="s">
        <v>434</v>
      </c>
      <c r="E301" s="698" t="s">
        <v>2172</v>
      </c>
      <c r="F301" s="710" t="s">
        <v>1169</v>
      </c>
      <c r="G301" s="705" t="s">
        <v>2178</v>
      </c>
      <c r="H301" s="700" t="s">
        <v>2179</v>
      </c>
      <c r="I301" s="711">
        <v>650</v>
      </c>
      <c r="J301" s="712">
        <v>20</v>
      </c>
      <c r="K301" s="703">
        <f t="shared" ref="K301:K316" si="30">I301*J301</f>
        <v>13000</v>
      </c>
      <c r="L301" s="699"/>
    </row>
    <row r="302" spans="1:12" s="681" customFormat="1" ht="24.95" customHeight="1" outlineLevel="3">
      <c r="A302" s="696">
        <v>13</v>
      </c>
      <c r="B302" s="696" t="s">
        <v>1825</v>
      </c>
      <c r="C302" s="696" t="s">
        <v>382</v>
      </c>
      <c r="D302" s="697" t="s">
        <v>434</v>
      </c>
      <c r="E302" s="698" t="s">
        <v>2172</v>
      </c>
      <c r="F302" s="710" t="s">
        <v>1169</v>
      </c>
      <c r="G302" s="705" t="s">
        <v>2180</v>
      </c>
      <c r="H302" s="700" t="s">
        <v>2179</v>
      </c>
      <c r="I302" s="711">
        <v>650</v>
      </c>
      <c r="J302" s="712">
        <v>20</v>
      </c>
      <c r="K302" s="703">
        <f t="shared" si="30"/>
        <v>13000</v>
      </c>
      <c r="L302" s="699"/>
    </row>
    <row r="303" spans="1:12" s="681" customFormat="1" ht="24.95" customHeight="1" outlineLevel="3">
      <c r="A303" s="696">
        <v>13</v>
      </c>
      <c r="B303" s="696" t="s">
        <v>1825</v>
      </c>
      <c r="C303" s="696" t="s">
        <v>382</v>
      </c>
      <c r="D303" s="697" t="s">
        <v>434</v>
      </c>
      <c r="E303" s="698" t="s">
        <v>2172</v>
      </c>
      <c r="F303" s="710" t="s">
        <v>1169</v>
      </c>
      <c r="G303" s="705" t="s">
        <v>2215</v>
      </c>
      <c r="H303" s="705" t="s">
        <v>2216</v>
      </c>
      <c r="I303" s="711">
        <v>380</v>
      </c>
      <c r="J303" s="712">
        <v>120</v>
      </c>
      <c r="K303" s="703">
        <f t="shared" si="30"/>
        <v>45600</v>
      </c>
      <c r="L303" s="699"/>
    </row>
    <row r="304" spans="1:12" s="681" customFormat="1" ht="24.95" customHeight="1" outlineLevel="3">
      <c r="A304" s="696">
        <v>13</v>
      </c>
      <c r="B304" s="696" t="s">
        <v>1825</v>
      </c>
      <c r="C304" s="696" t="s">
        <v>382</v>
      </c>
      <c r="D304" s="697" t="s">
        <v>434</v>
      </c>
      <c r="E304" s="698" t="s">
        <v>2172</v>
      </c>
      <c r="F304" s="710" t="s">
        <v>1169</v>
      </c>
      <c r="G304" s="705" t="s">
        <v>2181</v>
      </c>
      <c r="H304" s="705" t="s">
        <v>2182</v>
      </c>
      <c r="I304" s="713">
        <v>2400</v>
      </c>
      <c r="J304" s="712">
        <v>4</v>
      </c>
      <c r="K304" s="703">
        <f t="shared" si="30"/>
        <v>9600</v>
      </c>
      <c r="L304" s="699"/>
    </row>
    <row r="305" spans="1:12" s="681" customFormat="1" ht="24.95" customHeight="1" outlineLevel="3">
      <c r="A305" s="696">
        <v>13</v>
      </c>
      <c r="B305" s="696" t="s">
        <v>1825</v>
      </c>
      <c r="C305" s="696" t="s">
        <v>382</v>
      </c>
      <c r="D305" s="697" t="s">
        <v>434</v>
      </c>
      <c r="E305" s="698" t="s">
        <v>2172</v>
      </c>
      <c r="F305" s="710" t="s">
        <v>1169</v>
      </c>
      <c r="G305" s="705" t="s">
        <v>2183</v>
      </c>
      <c r="H305" s="705" t="s">
        <v>2184</v>
      </c>
      <c r="I305" s="711">
        <v>700</v>
      </c>
      <c r="J305" s="712">
        <v>4</v>
      </c>
      <c r="K305" s="703">
        <f t="shared" si="30"/>
        <v>2800</v>
      </c>
      <c r="L305" s="699"/>
    </row>
    <row r="306" spans="1:12" s="681" customFormat="1" ht="24.95" customHeight="1" outlineLevel="3">
      <c r="A306" s="696">
        <v>13</v>
      </c>
      <c r="B306" s="696" t="s">
        <v>1825</v>
      </c>
      <c r="C306" s="696" t="s">
        <v>382</v>
      </c>
      <c r="D306" s="697" t="s">
        <v>434</v>
      </c>
      <c r="E306" s="698" t="s">
        <v>2172</v>
      </c>
      <c r="F306" s="710" t="s">
        <v>1169</v>
      </c>
      <c r="G306" s="705" t="s">
        <v>2185</v>
      </c>
      <c r="H306" s="705" t="s">
        <v>2186</v>
      </c>
      <c r="I306" s="711">
        <v>6000</v>
      </c>
      <c r="J306" s="712">
        <v>4</v>
      </c>
      <c r="K306" s="703">
        <f t="shared" si="30"/>
        <v>24000</v>
      </c>
      <c r="L306" s="699"/>
    </row>
    <row r="307" spans="1:12" s="681" customFormat="1" ht="24.95" customHeight="1" outlineLevel="3">
      <c r="A307" s="696">
        <v>13</v>
      </c>
      <c r="B307" s="696" t="s">
        <v>1825</v>
      </c>
      <c r="C307" s="696" t="s">
        <v>382</v>
      </c>
      <c r="D307" s="697" t="s">
        <v>434</v>
      </c>
      <c r="E307" s="698" t="s">
        <v>2172</v>
      </c>
      <c r="F307" s="710" t="s">
        <v>1169</v>
      </c>
      <c r="G307" s="705" t="s">
        <v>2198</v>
      </c>
      <c r="H307" s="705"/>
      <c r="I307" s="711">
        <v>1600</v>
      </c>
      <c r="J307" s="712">
        <v>4</v>
      </c>
      <c r="K307" s="703">
        <f t="shared" si="30"/>
        <v>6400</v>
      </c>
      <c r="L307" s="699"/>
    </row>
    <row r="308" spans="1:12" s="681" customFormat="1" ht="24.95" customHeight="1" outlineLevel="3">
      <c r="A308" s="696">
        <v>13</v>
      </c>
      <c r="B308" s="696" t="s">
        <v>1825</v>
      </c>
      <c r="C308" s="696" t="s">
        <v>382</v>
      </c>
      <c r="D308" s="697" t="s">
        <v>434</v>
      </c>
      <c r="E308" s="698" t="s">
        <v>2172</v>
      </c>
      <c r="F308" s="710" t="s">
        <v>1169</v>
      </c>
      <c r="G308" s="705" t="s">
        <v>2220</v>
      </c>
      <c r="H308" s="705"/>
      <c r="I308" s="711">
        <v>700</v>
      </c>
      <c r="J308" s="712">
        <v>2</v>
      </c>
      <c r="K308" s="703">
        <f t="shared" si="30"/>
        <v>1400</v>
      </c>
      <c r="L308" s="699"/>
    </row>
    <row r="309" spans="1:12" s="681" customFormat="1" ht="24.95" customHeight="1" outlineLevel="3">
      <c r="A309" s="696">
        <v>13</v>
      </c>
      <c r="B309" s="696" t="s">
        <v>1825</v>
      </c>
      <c r="C309" s="696" t="s">
        <v>382</v>
      </c>
      <c r="D309" s="697" t="s">
        <v>434</v>
      </c>
      <c r="E309" s="698" t="s">
        <v>2172</v>
      </c>
      <c r="F309" s="710" t="s">
        <v>1175</v>
      </c>
      <c r="G309" s="705" t="s">
        <v>1175</v>
      </c>
      <c r="H309" s="705" t="s">
        <v>2187</v>
      </c>
      <c r="I309" s="711">
        <v>13000</v>
      </c>
      <c r="J309" s="712">
        <v>4</v>
      </c>
      <c r="K309" s="703">
        <f t="shared" si="30"/>
        <v>52000</v>
      </c>
      <c r="L309" s="699"/>
    </row>
    <row r="310" spans="1:12" s="681" customFormat="1" ht="24.95" customHeight="1" outlineLevel="3">
      <c r="A310" s="696">
        <v>13</v>
      </c>
      <c r="B310" s="696" t="s">
        <v>1825</v>
      </c>
      <c r="C310" s="696" t="s">
        <v>382</v>
      </c>
      <c r="D310" s="697" t="s">
        <v>434</v>
      </c>
      <c r="E310" s="698" t="s">
        <v>2172</v>
      </c>
      <c r="F310" s="710" t="s">
        <v>2188</v>
      </c>
      <c r="G310" s="705" t="s">
        <v>2188</v>
      </c>
      <c r="H310" s="714" t="s">
        <v>2189</v>
      </c>
      <c r="I310" s="713">
        <v>9000</v>
      </c>
      <c r="J310" s="712">
        <v>4</v>
      </c>
      <c r="K310" s="703">
        <f t="shared" si="30"/>
        <v>36000</v>
      </c>
      <c r="L310" s="699"/>
    </row>
    <row r="311" spans="1:12" s="681" customFormat="1" ht="24.95" customHeight="1" outlineLevel="3">
      <c r="A311" s="696">
        <v>13</v>
      </c>
      <c r="B311" s="696" t="s">
        <v>1825</v>
      </c>
      <c r="C311" s="696" t="s">
        <v>382</v>
      </c>
      <c r="D311" s="697" t="s">
        <v>434</v>
      </c>
      <c r="E311" s="698" t="s">
        <v>2172</v>
      </c>
      <c r="F311" s="710" t="s">
        <v>2200</v>
      </c>
      <c r="G311" s="705" t="s">
        <v>2200</v>
      </c>
      <c r="H311" s="705"/>
      <c r="I311" s="711">
        <v>5000</v>
      </c>
      <c r="J311" s="712">
        <v>4</v>
      </c>
      <c r="K311" s="703">
        <f t="shared" si="30"/>
        <v>20000</v>
      </c>
      <c r="L311" s="699"/>
    </row>
    <row r="312" spans="1:12" s="681" customFormat="1" ht="24.95" customHeight="1" outlineLevel="3">
      <c r="A312" s="696">
        <v>13</v>
      </c>
      <c r="B312" s="696" t="s">
        <v>1825</v>
      </c>
      <c r="C312" s="696" t="s">
        <v>382</v>
      </c>
      <c r="D312" s="697" t="s">
        <v>434</v>
      </c>
      <c r="E312" s="698" t="s">
        <v>2172</v>
      </c>
      <c r="F312" s="705" t="s">
        <v>2190</v>
      </c>
      <c r="G312" s="705" t="s">
        <v>2191</v>
      </c>
      <c r="H312" s="705"/>
      <c r="I312" s="711">
        <v>7300</v>
      </c>
      <c r="J312" s="712">
        <v>4</v>
      </c>
      <c r="K312" s="703">
        <f t="shared" si="30"/>
        <v>29200</v>
      </c>
      <c r="L312" s="699"/>
    </row>
    <row r="313" spans="1:12" s="681" customFormat="1" ht="24.95" customHeight="1" outlineLevel="3">
      <c r="A313" s="696">
        <v>13</v>
      </c>
      <c r="B313" s="696" t="s">
        <v>1825</v>
      </c>
      <c r="C313" s="696" t="s">
        <v>382</v>
      </c>
      <c r="D313" s="697" t="s">
        <v>434</v>
      </c>
      <c r="E313" s="698" t="s">
        <v>2172</v>
      </c>
      <c r="F313" s="705" t="s">
        <v>2190</v>
      </c>
      <c r="G313" s="705" t="s">
        <v>2192</v>
      </c>
      <c r="H313" s="705"/>
      <c r="I313" s="711">
        <v>12000</v>
      </c>
      <c r="J313" s="712">
        <v>4</v>
      </c>
      <c r="K313" s="703">
        <f t="shared" si="30"/>
        <v>48000</v>
      </c>
      <c r="L313" s="699"/>
    </row>
    <row r="314" spans="1:12" s="681" customFormat="1" ht="24.95" customHeight="1" outlineLevel="3">
      <c r="A314" s="696">
        <v>13</v>
      </c>
      <c r="B314" s="696" t="s">
        <v>1825</v>
      </c>
      <c r="C314" s="696" t="s">
        <v>382</v>
      </c>
      <c r="D314" s="697" t="s">
        <v>434</v>
      </c>
      <c r="E314" s="698" t="s">
        <v>2172</v>
      </c>
      <c r="F314" s="715" t="s">
        <v>1172</v>
      </c>
      <c r="G314" s="705" t="s">
        <v>2193</v>
      </c>
      <c r="H314" s="705"/>
      <c r="I314" s="713">
        <v>10000</v>
      </c>
      <c r="J314" s="712">
        <v>4</v>
      </c>
      <c r="K314" s="703">
        <f t="shared" si="30"/>
        <v>40000</v>
      </c>
      <c r="L314" s="699"/>
    </row>
    <row r="315" spans="1:12" s="681" customFormat="1" ht="24.95" customHeight="1" outlineLevel="3">
      <c r="A315" s="696">
        <v>13</v>
      </c>
      <c r="B315" s="696" t="s">
        <v>1825</v>
      </c>
      <c r="C315" s="696" t="s">
        <v>382</v>
      </c>
      <c r="D315" s="697" t="s">
        <v>434</v>
      </c>
      <c r="E315" s="698" t="s">
        <v>2172</v>
      </c>
      <c r="F315" s="705" t="s">
        <v>2194</v>
      </c>
      <c r="G315" s="705" t="s">
        <v>2194</v>
      </c>
      <c r="H315" s="705"/>
      <c r="I315" s="713">
        <v>1200</v>
      </c>
      <c r="J315" s="712">
        <v>4</v>
      </c>
      <c r="K315" s="703">
        <f t="shared" si="30"/>
        <v>4800</v>
      </c>
      <c r="L315" s="699"/>
    </row>
    <row r="316" spans="1:12" s="681" customFormat="1" ht="24.95" customHeight="1" outlineLevel="3">
      <c r="A316" s="696">
        <v>13</v>
      </c>
      <c r="B316" s="696" t="s">
        <v>1825</v>
      </c>
      <c r="C316" s="696" t="s">
        <v>382</v>
      </c>
      <c r="D316" s="697" t="s">
        <v>434</v>
      </c>
      <c r="E316" s="698" t="s">
        <v>2172</v>
      </c>
      <c r="F316" s="705" t="s">
        <v>2195</v>
      </c>
      <c r="G316" s="705" t="s">
        <v>2195</v>
      </c>
      <c r="H316" s="705"/>
      <c r="I316" s="713">
        <v>1400</v>
      </c>
      <c r="J316" s="712">
        <v>4</v>
      </c>
      <c r="K316" s="703">
        <f t="shared" si="30"/>
        <v>5600</v>
      </c>
      <c r="L316" s="699"/>
    </row>
    <row r="317" spans="1:12" s="681" customFormat="1" ht="24.95" customHeight="1" outlineLevel="1">
      <c r="A317" s="694"/>
      <c r="B317" s="694" t="s">
        <v>1105</v>
      </c>
      <c r="C317" s="694"/>
      <c r="D317" s="691"/>
      <c r="E317" s="690"/>
      <c r="F317" s="691"/>
      <c r="G317" s="691"/>
      <c r="H317" s="694"/>
      <c r="I317" s="693"/>
      <c r="J317" s="694"/>
      <c r="K317" s="695">
        <f>SUBTOTAL(9,K319:K327)</f>
        <v>342100</v>
      </c>
      <c r="L317" s="694"/>
    </row>
    <row r="318" spans="1:12" s="681" customFormat="1" ht="24.95" customHeight="1" outlineLevel="1">
      <c r="A318" s="694"/>
      <c r="B318" s="694"/>
      <c r="C318" s="694"/>
      <c r="D318" s="691" t="s">
        <v>2253</v>
      </c>
      <c r="E318" s="690"/>
      <c r="F318" s="691"/>
      <c r="G318" s="691"/>
      <c r="H318" s="694"/>
      <c r="I318" s="693"/>
      <c r="J318" s="694"/>
      <c r="K318" s="695">
        <f>SUBTOTAL(9,K319:K327)</f>
        <v>342100</v>
      </c>
      <c r="L318" s="694"/>
    </row>
    <row r="319" spans="1:12" s="681" customFormat="1" ht="24.95" customHeight="1" outlineLevel="3">
      <c r="A319" s="702">
        <v>1</v>
      </c>
      <c r="B319" s="702" t="s">
        <v>2254</v>
      </c>
      <c r="C319" s="702" t="s">
        <v>379</v>
      </c>
      <c r="D319" s="699" t="s">
        <v>330</v>
      </c>
      <c r="E319" s="698" t="s">
        <v>2172</v>
      </c>
      <c r="F319" s="699" t="s">
        <v>1169</v>
      </c>
      <c r="G319" s="699" t="s">
        <v>2173</v>
      </c>
      <c r="H319" s="702"/>
      <c r="I319" s="701">
        <v>400</v>
      </c>
      <c r="J319" s="702">
        <v>200</v>
      </c>
      <c r="K319" s="703">
        <f t="shared" ref="K319:K327" si="31">I319*J319</f>
        <v>80000</v>
      </c>
      <c r="L319" s="702"/>
    </row>
    <row r="320" spans="1:12" s="681" customFormat="1" ht="24.95" customHeight="1" outlineLevel="3">
      <c r="A320" s="702">
        <v>1</v>
      </c>
      <c r="B320" s="702" t="s">
        <v>2254</v>
      </c>
      <c r="C320" s="702" t="s">
        <v>379</v>
      </c>
      <c r="D320" s="699" t="s">
        <v>330</v>
      </c>
      <c r="E320" s="698" t="s">
        <v>2172</v>
      </c>
      <c r="F320" s="699" t="s">
        <v>1169</v>
      </c>
      <c r="G320" s="704" t="s">
        <v>1872</v>
      </c>
      <c r="H320" s="702"/>
      <c r="I320" s="701">
        <v>2000</v>
      </c>
      <c r="J320" s="702">
        <v>5</v>
      </c>
      <c r="K320" s="703">
        <f t="shared" si="31"/>
        <v>10000</v>
      </c>
      <c r="L320" s="702"/>
    </row>
    <row r="321" spans="1:12" s="681" customFormat="1" ht="24.95" customHeight="1" outlineLevel="3">
      <c r="A321" s="702">
        <v>1</v>
      </c>
      <c r="B321" s="702" t="s">
        <v>2254</v>
      </c>
      <c r="C321" s="702" t="s">
        <v>379</v>
      </c>
      <c r="D321" s="699" t="s">
        <v>330</v>
      </c>
      <c r="E321" s="698" t="s">
        <v>2172</v>
      </c>
      <c r="F321" s="699" t="s">
        <v>1169</v>
      </c>
      <c r="G321" s="704" t="s">
        <v>2174</v>
      </c>
      <c r="H321" s="702"/>
      <c r="I321" s="701">
        <v>3500</v>
      </c>
      <c r="J321" s="702">
        <v>5</v>
      </c>
      <c r="K321" s="703">
        <f t="shared" si="31"/>
        <v>17500</v>
      </c>
      <c r="L321" s="702"/>
    </row>
    <row r="322" spans="1:12" s="681" customFormat="1" ht="24.95" customHeight="1" outlineLevel="3">
      <c r="A322" s="702">
        <v>1</v>
      </c>
      <c r="B322" s="702" t="s">
        <v>2254</v>
      </c>
      <c r="C322" s="702" t="s">
        <v>379</v>
      </c>
      <c r="D322" s="699" t="s">
        <v>330</v>
      </c>
      <c r="E322" s="698" t="s">
        <v>2172</v>
      </c>
      <c r="F322" s="699" t="s">
        <v>1169</v>
      </c>
      <c r="G322" s="704" t="s">
        <v>2198</v>
      </c>
      <c r="H322" s="702"/>
      <c r="I322" s="701">
        <v>1600</v>
      </c>
      <c r="J322" s="702">
        <v>15</v>
      </c>
      <c r="K322" s="703">
        <f t="shared" si="31"/>
        <v>24000</v>
      </c>
      <c r="L322" s="702"/>
    </row>
    <row r="323" spans="1:12" s="681" customFormat="1" ht="24.95" customHeight="1" outlineLevel="3">
      <c r="A323" s="702">
        <v>1</v>
      </c>
      <c r="B323" s="702" t="s">
        <v>2254</v>
      </c>
      <c r="C323" s="702" t="s">
        <v>379</v>
      </c>
      <c r="D323" s="699" t="s">
        <v>330</v>
      </c>
      <c r="E323" s="698" t="s">
        <v>2172</v>
      </c>
      <c r="F323" s="699" t="s">
        <v>1169</v>
      </c>
      <c r="G323" s="704" t="s">
        <v>2199</v>
      </c>
      <c r="H323" s="702"/>
      <c r="I323" s="701">
        <v>700</v>
      </c>
      <c r="J323" s="702">
        <v>8</v>
      </c>
      <c r="K323" s="703">
        <f t="shared" si="31"/>
        <v>5600</v>
      </c>
      <c r="L323" s="702"/>
    </row>
    <row r="324" spans="1:12" s="681" customFormat="1" ht="24.95" customHeight="1" outlineLevel="3">
      <c r="A324" s="702">
        <v>1</v>
      </c>
      <c r="B324" s="702" t="s">
        <v>2254</v>
      </c>
      <c r="C324" s="702" t="s">
        <v>379</v>
      </c>
      <c r="D324" s="699" t="s">
        <v>330</v>
      </c>
      <c r="E324" s="698" t="s">
        <v>2172</v>
      </c>
      <c r="F324" s="699" t="s">
        <v>1169</v>
      </c>
      <c r="G324" s="704" t="s">
        <v>2206</v>
      </c>
      <c r="H324" s="702"/>
      <c r="I324" s="701">
        <v>2000</v>
      </c>
      <c r="J324" s="702">
        <v>5</v>
      </c>
      <c r="K324" s="703">
        <f t="shared" si="31"/>
        <v>10000</v>
      </c>
      <c r="L324" s="702"/>
    </row>
    <row r="325" spans="1:12" s="681" customFormat="1" ht="24.95" customHeight="1" outlineLevel="3">
      <c r="A325" s="702">
        <v>1</v>
      </c>
      <c r="B325" s="702" t="s">
        <v>2254</v>
      </c>
      <c r="C325" s="702" t="s">
        <v>379</v>
      </c>
      <c r="D325" s="699" t="s">
        <v>330</v>
      </c>
      <c r="E325" s="698" t="s">
        <v>2172</v>
      </c>
      <c r="F325" s="699" t="s">
        <v>1172</v>
      </c>
      <c r="G325" s="704" t="s">
        <v>2211</v>
      </c>
      <c r="H325" s="702"/>
      <c r="I325" s="701">
        <v>12000</v>
      </c>
      <c r="J325" s="702">
        <v>5</v>
      </c>
      <c r="K325" s="703">
        <f t="shared" si="31"/>
        <v>60000</v>
      </c>
      <c r="L325" s="702"/>
    </row>
    <row r="326" spans="1:12" s="681" customFormat="1" ht="24.95" customHeight="1" outlineLevel="3">
      <c r="A326" s="702">
        <v>1</v>
      </c>
      <c r="B326" s="702" t="s">
        <v>2254</v>
      </c>
      <c r="C326" s="702" t="s">
        <v>379</v>
      </c>
      <c r="D326" s="699" t="s">
        <v>330</v>
      </c>
      <c r="E326" s="698" t="s">
        <v>2172</v>
      </c>
      <c r="F326" s="710" t="s">
        <v>2200</v>
      </c>
      <c r="G326" s="704" t="s">
        <v>2201</v>
      </c>
      <c r="H326" s="702"/>
      <c r="I326" s="701">
        <v>5000</v>
      </c>
      <c r="J326" s="702">
        <v>15</v>
      </c>
      <c r="K326" s="703">
        <f t="shared" si="31"/>
        <v>75000</v>
      </c>
      <c r="L326" s="702"/>
    </row>
    <row r="327" spans="1:12" s="681" customFormat="1" ht="24.95" customHeight="1" outlineLevel="3">
      <c r="A327" s="702">
        <v>1</v>
      </c>
      <c r="B327" s="702" t="s">
        <v>2254</v>
      </c>
      <c r="C327" s="702" t="s">
        <v>379</v>
      </c>
      <c r="D327" s="699" t="s">
        <v>330</v>
      </c>
      <c r="E327" s="698" t="s">
        <v>2172</v>
      </c>
      <c r="F327" s="705" t="s">
        <v>2190</v>
      </c>
      <c r="G327" s="704" t="s">
        <v>2255</v>
      </c>
      <c r="H327" s="702"/>
      <c r="I327" s="701">
        <v>6000</v>
      </c>
      <c r="J327" s="702">
        <v>10</v>
      </c>
      <c r="K327" s="703">
        <f t="shared" si="31"/>
        <v>60000</v>
      </c>
      <c r="L327" s="702"/>
    </row>
    <row r="328" spans="1:12" s="681" customFormat="1" ht="24.95" customHeight="1" outlineLevel="1">
      <c r="A328" s="694"/>
      <c r="B328" s="694" t="s">
        <v>732</v>
      </c>
      <c r="C328" s="694"/>
      <c r="D328" s="691"/>
      <c r="E328" s="690"/>
      <c r="F328" s="691"/>
      <c r="G328" s="691"/>
      <c r="H328" s="694"/>
      <c r="I328" s="693"/>
      <c r="J328" s="694"/>
      <c r="K328" s="695">
        <f>SUBTOTAL(9,K330:K353)</f>
        <v>787900</v>
      </c>
      <c r="L328" s="694"/>
    </row>
    <row r="329" spans="1:12" s="681" customFormat="1" ht="24.95" customHeight="1" outlineLevel="1">
      <c r="A329" s="694"/>
      <c r="B329" s="694"/>
      <c r="C329" s="694"/>
      <c r="D329" s="691" t="s">
        <v>2256</v>
      </c>
      <c r="E329" s="690"/>
      <c r="F329" s="691"/>
      <c r="G329" s="691"/>
      <c r="H329" s="694"/>
      <c r="I329" s="693"/>
      <c r="J329" s="694"/>
      <c r="K329" s="695">
        <f>SUBTOTAL(9,K330:K337)</f>
        <v>419500</v>
      </c>
      <c r="L329" s="694"/>
    </row>
    <row r="330" spans="1:12" s="681" customFormat="1" ht="24.95" customHeight="1" outlineLevel="3">
      <c r="A330" s="702">
        <v>1</v>
      </c>
      <c r="B330" s="702" t="s">
        <v>2257</v>
      </c>
      <c r="C330" s="702" t="s">
        <v>1354</v>
      </c>
      <c r="D330" s="699" t="s">
        <v>649</v>
      </c>
      <c r="E330" s="698" t="s">
        <v>2172</v>
      </c>
      <c r="F330" s="699" t="s">
        <v>1169</v>
      </c>
      <c r="G330" s="699" t="s">
        <v>2173</v>
      </c>
      <c r="H330" s="702"/>
      <c r="I330" s="701">
        <v>400</v>
      </c>
      <c r="J330" s="702">
        <v>225</v>
      </c>
      <c r="K330" s="703">
        <f t="shared" ref="K330:K337" si="32">I330*J330</f>
        <v>90000</v>
      </c>
      <c r="L330" s="702"/>
    </row>
    <row r="331" spans="1:12" s="681" customFormat="1" ht="24.95" customHeight="1" outlineLevel="3">
      <c r="A331" s="702">
        <v>1</v>
      </c>
      <c r="B331" s="702" t="s">
        <v>2257</v>
      </c>
      <c r="C331" s="702" t="s">
        <v>1354</v>
      </c>
      <c r="D331" s="699" t="s">
        <v>649</v>
      </c>
      <c r="E331" s="698" t="s">
        <v>2172</v>
      </c>
      <c r="F331" s="699" t="s">
        <v>1169</v>
      </c>
      <c r="G331" s="704" t="s">
        <v>1872</v>
      </c>
      <c r="H331" s="702"/>
      <c r="I331" s="701">
        <v>2000</v>
      </c>
      <c r="J331" s="702">
        <v>5</v>
      </c>
      <c r="K331" s="703">
        <f t="shared" si="32"/>
        <v>10000</v>
      </c>
      <c r="L331" s="702"/>
    </row>
    <row r="332" spans="1:12" s="681" customFormat="1" ht="24.95" customHeight="1" outlineLevel="3">
      <c r="A332" s="702">
        <v>1</v>
      </c>
      <c r="B332" s="702" t="s">
        <v>2257</v>
      </c>
      <c r="C332" s="702" t="s">
        <v>1354</v>
      </c>
      <c r="D332" s="699" t="s">
        <v>649</v>
      </c>
      <c r="E332" s="698" t="s">
        <v>2172</v>
      </c>
      <c r="F332" s="699" t="s">
        <v>1169</v>
      </c>
      <c r="G332" s="704" t="s">
        <v>2174</v>
      </c>
      <c r="H332" s="702"/>
      <c r="I332" s="701">
        <v>3500</v>
      </c>
      <c r="J332" s="702">
        <v>5</v>
      </c>
      <c r="K332" s="703">
        <f t="shared" si="32"/>
        <v>17500</v>
      </c>
      <c r="L332" s="702"/>
    </row>
    <row r="333" spans="1:12" s="681" customFormat="1" ht="24.95" customHeight="1" outlineLevel="3">
      <c r="A333" s="702">
        <v>1</v>
      </c>
      <c r="B333" s="702" t="s">
        <v>2257</v>
      </c>
      <c r="C333" s="702" t="s">
        <v>1354</v>
      </c>
      <c r="D333" s="699" t="s">
        <v>649</v>
      </c>
      <c r="E333" s="698" t="s">
        <v>2172</v>
      </c>
      <c r="F333" s="699" t="s">
        <v>1169</v>
      </c>
      <c r="G333" s="704" t="s">
        <v>2198</v>
      </c>
      <c r="H333" s="702"/>
      <c r="I333" s="701">
        <v>1600</v>
      </c>
      <c r="J333" s="702">
        <v>20</v>
      </c>
      <c r="K333" s="703">
        <f t="shared" si="32"/>
        <v>32000</v>
      </c>
      <c r="L333" s="702"/>
    </row>
    <row r="334" spans="1:12" s="681" customFormat="1" ht="24.95" customHeight="1" outlineLevel="3">
      <c r="A334" s="702">
        <v>1</v>
      </c>
      <c r="B334" s="702" t="s">
        <v>2257</v>
      </c>
      <c r="C334" s="702" t="s">
        <v>1354</v>
      </c>
      <c r="D334" s="699" t="s">
        <v>649</v>
      </c>
      <c r="E334" s="698" t="s">
        <v>2172</v>
      </c>
      <c r="F334" s="699" t="s">
        <v>1169</v>
      </c>
      <c r="G334" s="704" t="s">
        <v>2199</v>
      </c>
      <c r="H334" s="702"/>
      <c r="I334" s="701">
        <v>700</v>
      </c>
      <c r="J334" s="702">
        <v>10</v>
      </c>
      <c r="K334" s="703">
        <f t="shared" si="32"/>
        <v>7000</v>
      </c>
      <c r="L334" s="702"/>
    </row>
    <row r="335" spans="1:12" s="681" customFormat="1" ht="24.95" customHeight="1" outlineLevel="3">
      <c r="A335" s="702">
        <v>1</v>
      </c>
      <c r="B335" s="702" t="s">
        <v>2257</v>
      </c>
      <c r="C335" s="702" t="s">
        <v>1354</v>
      </c>
      <c r="D335" s="699" t="s">
        <v>649</v>
      </c>
      <c r="E335" s="698" t="s">
        <v>2172</v>
      </c>
      <c r="F335" s="699" t="s">
        <v>1172</v>
      </c>
      <c r="G335" s="704" t="s">
        <v>2175</v>
      </c>
      <c r="H335" s="702"/>
      <c r="I335" s="701">
        <v>18000</v>
      </c>
      <c r="J335" s="702">
        <v>5</v>
      </c>
      <c r="K335" s="703">
        <f t="shared" si="32"/>
        <v>90000</v>
      </c>
      <c r="L335" s="702"/>
    </row>
    <row r="336" spans="1:12" s="681" customFormat="1" ht="24.95" customHeight="1" outlineLevel="3">
      <c r="A336" s="702">
        <v>1</v>
      </c>
      <c r="B336" s="702" t="s">
        <v>2257</v>
      </c>
      <c r="C336" s="702" t="s">
        <v>1354</v>
      </c>
      <c r="D336" s="699" t="s">
        <v>649</v>
      </c>
      <c r="E336" s="698" t="s">
        <v>2172</v>
      </c>
      <c r="F336" s="710" t="s">
        <v>2200</v>
      </c>
      <c r="G336" s="704" t="s">
        <v>2201</v>
      </c>
      <c r="H336" s="702"/>
      <c r="I336" s="701">
        <v>5000</v>
      </c>
      <c r="J336" s="702">
        <v>20</v>
      </c>
      <c r="K336" s="703">
        <f t="shared" si="32"/>
        <v>100000</v>
      </c>
      <c r="L336" s="702"/>
    </row>
    <row r="337" spans="1:12" s="681" customFormat="1" ht="24.95" customHeight="1" outlineLevel="3">
      <c r="A337" s="702">
        <v>1</v>
      </c>
      <c r="B337" s="702" t="s">
        <v>2257</v>
      </c>
      <c r="C337" s="702" t="s">
        <v>1354</v>
      </c>
      <c r="D337" s="699" t="s">
        <v>649</v>
      </c>
      <c r="E337" s="698" t="s">
        <v>2172</v>
      </c>
      <c r="F337" s="705" t="s">
        <v>2190</v>
      </c>
      <c r="G337" s="704" t="s">
        <v>2203</v>
      </c>
      <c r="H337" s="702"/>
      <c r="I337" s="701">
        <v>7300</v>
      </c>
      <c r="J337" s="702">
        <v>10</v>
      </c>
      <c r="K337" s="703">
        <f t="shared" si="32"/>
        <v>73000</v>
      </c>
      <c r="L337" s="702"/>
    </row>
    <row r="338" spans="1:12" s="681" customFormat="1" ht="24.95" customHeight="1" outlineLevel="1">
      <c r="A338" s="694"/>
      <c r="B338" s="694"/>
      <c r="C338" s="694"/>
      <c r="D338" s="691" t="s">
        <v>2258</v>
      </c>
      <c r="E338" s="690"/>
      <c r="F338" s="691"/>
      <c r="G338" s="691"/>
      <c r="H338" s="694"/>
      <c r="I338" s="693"/>
      <c r="J338" s="694"/>
      <c r="K338" s="695">
        <f>SUBTOTAL(9,K339:K343)</f>
        <v>87000</v>
      </c>
      <c r="L338" s="694"/>
    </row>
    <row r="339" spans="1:12" s="681" customFormat="1" ht="24.95" customHeight="1" outlineLevel="3">
      <c r="A339" s="702">
        <v>2</v>
      </c>
      <c r="B339" s="702" t="s">
        <v>2257</v>
      </c>
      <c r="C339" s="702" t="s">
        <v>374</v>
      </c>
      <c r="D339" s="699" t="s">
        <v>398</v>
      </c>
      <c r="E339" s="698" t="s">
        <v>2172</v>
      </c>
      <c r="F339" s="699" t="s">
        <v>1169</v>
      </c>
      <c r="G339" s="699" t="s">
        <v>2173</v>
      </c>
      <c r="H339" s="702"/>
      <c r="I339" s="701">
        <v>400</v>
      </c>
      <c r="J339" s="702">
        <v>90</v>
      </c>
      <c r="K339" s="703">
        <f t="shared" ref="K339:K343" si="33">I339*J339</f>
        <v>36000</v>
      </c>
      <c r="L339" s="702"/>
    </row>
    <row r="340" spans="1:12" s="681" customFormat="1" ht="24.95" customHeight="1" outlineLevel="3">
      <c r="A340" s="702">
        <v>2</v>
      </c>
      <c r="B340" s="702" t="s">
        <v>2257</v>
      </c>
      <c r="C340" s="702" t="s">
        <v>374</v>
      </c>
      <c r="D340" s="699" t="s">
        <v>398</v>
      </c>
      <c r="E340" s="698" t="s">
        <v>2172</v>
      </c>
      <c r="F340" s="699" t="s">
        <v>1169</v>
      </c>
      <c r="G340" s="704" t="s">
        <v>1872</v>
      </c>
      <c r="H340" s="702"/>
      <c r="I340" s="701">
        <v>2000</v>
      </c>
      <c r="J340" s="702">
        <v>2</v>
      </c>
      <c r="K340" s="703">
        <f t="shared" si="33"/>
        <v>4000</v>
      </c>
      <c r="L340" s="702"/>
    </row>
    <row r="341" spans="1:12" s="681" customFormat="1" ht="24.95" customHeight="1" outlineLevel="3">
      <c r="A341" s="702">
        <v>2</v>
      </c>
      <c r="B341" s="702" t="s">
        <v>2257</v>
      </c>
      <c r="C341" s="702" t="s">
        <v>374</v>
      </c>
      <c r="D341" s="699" t="s">
        <v>398</v>
      </c>
      <c r="E341" s="698" t="s">
        <v>2172</v>
      </c>
      <c r="F341" s="699" t="s">
        <v>1169</v>
      </c>
      <c r="G341" s="704" t="s">
        <v>2174</v>
      </c>
      <c r="H341" s="702"/>
      <c r="I341" s="701">
        <v>3500</v>
      </c>
      <c r="J341" s="702">
        <v>2</v>
      </c>
      <c r="K341" s="703">
        <f t="shared" si="33"/>
        <v>7000</v>
      </c>
      <c r="L341" s="702"/>
    </row>
    <row r="342" spans="1:12" s="681" customFormat="1" ht="24.95" customHeight="1" outlineLevel="3">
      <c r="A342" s="702">
        <v>2</v>
      </c>
      <c r="B342" s="702" t="s">
        <v>2257</v>
      </c>
      <c r="C342" s="702" t="s">
        <v>374</v>
      </c>
      <c r="D342" s="699" t="s">
        <v>398</v>
      </c>
      <c r="E342" s="698" t="s">
        <v>2172</v>
      </c>
      <c r="F342" s="699" t="s">
        <v>1169</v>
      </c>
      <c r="G342" s="704" t="s">
        <v>2206</v>
      </c>
      <c r="H342" s="702"/>
      <c r="I342" s="701">
        <v>2000</v>
      </c>
      <c r="J342" s="702">
        <v>2</v>
      </c>
      <c r="K342" s="703">
        <f t="shared" si="33"/>
        <v>4000</v>
      </c>
      <c r="L342" s="702"/>
    </row>
    <row r="343" spans="1:12" s="681" customFormat="1" ht="24.95" customHeight="1" outlineLevel="3">
      <c r="A343" s="702">
        <v>2</v>
      </c>
      <c r="B343" s="702" t="s">
        <v>2257</v>
      </c>
      <c r="C343" s="702" t="s">
        <v>374</v>
      </c>
      <c r="D343" s="699" t="s">
        <v>398</v>
      </c>
      <c r="E343" s="698" t="s">
        <v>2172</v>
      </c>
      <c r="F343" s="699" t="s">
        <v>1172</v>
      </c>
      <c r="G343" s="704" t="s">
        <v>2207</v>
      </c>
      <c r="H343" s="702"/>
      <c r="I343" s="701">
        <v>18000</v>
      </c>
      <c r="J343" s="702">
        <v>2</v>
      </c>
      <c r="K343" s="703">
        <f t="shared" si="33"/>
        <v>36000</v>
      </c>
      <c r="L343" s="702"/>
    </row>
    <row r="344" spans="1:12" s="681" customFormat="1" ht="24.95" customHeight="1" outlineLevel="1">
      <c r="A344" s="694"/>
      <c r="B344" s="694"/>
      <c r="C344" s="694"/>
      <c r="D344" s="691" t="s">
        <v>2259</v>
      </c>
      <c r="E344" s="690"/>
      <c r="F344" s="691"/>
      <c r="G344" s="691"/>
      <c r="H344" s="694"/>
      <c r="I344" s="693"/>
      <c r="J344" s="694"/>
      <c r="K344" s="695">
        <f>SUBTOTAL(9,K345:K353)</f>
        <v>281400</v>
      </c>
      <c r="L344" s="694"/>
    </row>
    <row r="345" spans="1:12" s="681" customFormat="1" ht="24.95" customHeight="1" outlineLevel="3">
      <c r="A345" s="702">
        <v>3</v>
      </c>
      <c r="B345" s="702" t="s">
        <v>2257</v>
      </c>
      <c r="C345" s="702" t="s">
        <v>379</v>
      </c>
      <c r="D345" s="699" t="s">
        <v>402</v>
      </c>
      <c r="E345" s="698" t="s">
        <v>2172</v>
      </c>
      <c r="F345" s="699" t="s">
        <v>1169</v>
      </c>
      <c r="G345" s="699" t="s">
        <v>2173</v>
      </c>
      <c r="H345" s="702"/>
      <c r="I345" s="701">
        <v>400</v>
      </c>
      <c r="J345" s="702">
        <v>180</v>
      </c>
      <c r="K345" s="703">
        <f t="shared" ref="K345:K353" si="34">I345*J345</f>
        <v>72000</v>
      </c>
      <c r="L345" s="702"/>
    </row>
    <row r="346" spans="1:12" s="681" customFormat="1" ht="24.95" customHeight="1" outlineLevel="3">
      <c r="A346" s="702">
        <v>3</v>
      </c>
      <c r="B346" s="702" t="s">
        <v>2257</v>
      </c>
      <c r="C346" s="702" t="s">
        <v>379</v>
      </c>
      <c r="D346" s="699" t="s">
        <v>402</v>
      </c>
      <c r="E346" s="698" t="s">
        <v>2172</v>
      </c>
      <c r="F346" s="699" t="s">
        <v>1169</v>
      </c>
      <c r="G346" s="704" t="s">
        <v>1872</v>
      </c>
      <c r="H346" s="702"/>
      <c r="I346" s="701">
        <v>2000</v>
      </c>
      <c r="J346" s="702">
        <v>4</v>
      </c>
      <c r="K346" s="703">
        <f t="shared" si="34"/>
        <v>8000</v>
      </c>
      <c r="L346" s="702"/>
    </row>
    <row r="347" spans="1:12" s="681" customFormat="1" ht="24.95" customHeight="1" outlineLevel="3">
      <c r="A347" s="702">
        <v>3</v>
      </c>
      <c r="B347" s="702" t="s">
        <v>2257</v>
      </c>
      <c r="C347" s="702" t="s">
        <v>379</v>
      </c>
      <c r="D347" s="699" t="s">
        <v>402</v>
      </c>
      <c r="E347" s="698" t="s">
        <v>2172</v>
      </c>
      <c r="F347" s="699" t="s">
        <v>1169</v>
      </c>
      <c r="G347" s="704" t="s">
        <v>2174</v>
      </c>
      <c r="H347" s="702"/>
      <c r="I347" s="701">
        <v>3500</v>
      </c>
      <c r="J347" s="702">
        <v>4</v>
      </c>
      <c r="K347" s="703">
        <f t="shared" si="34"/>
        <v>14000</v>
      </c>
      <c r="L347" s="702"/>
    </row>
    <row r="348" spans="1:12" s="681" customFormat="1" ht="24.95" customHeight="1" outlineLevel="3">
      <c r="A348" s="702">
        <v>3</v>
      </c>
      <c r="B348" s="702" t="s">
        <v>2257</v>
      </c>
      <c r="C348" s="702" t="s">
        <v>379</v>
      </c>
      <c r="D348" s="699" t="s">
        <v>402</v>
      </c>
      <c r="E348" s="698" t="s">
        <v>2172</v>
      </c>
      <c r="F348" s="699" t="s">
        <v>1169</v>
      </c>
      <c r="G348" s="704" t="s">
        <v>2198</v>
      </c>
      <c r="H348" s="702"/>
      <c r="I348" s="701">
        <v>1600</v>
      </c>
      <c r="J348" s="702">
        <v>12</v>
      </c>
      <c r="K348" s="703">
        <f t="shared" si="34"/>
        <v>19200</v>
      </c>
      <c r="L348" s="702"/>
    </row>
    <row r="349" spans="1:12" s="681" customFormat="1" ht="24.95" customHeight="1" outlineLevel="3">
      <c r="A349" s="702">
        <v>3</v>
      </c>
      <c r="B349" s="702" t="s">
        <v>2257</v>
      </c>
      <c r="C349" s="702" t="s">
        <v>379</v>
      </c>
      <c r="D349" s="699" t="s">
        <v>402</v>
      </c>
      <c r="E349" s="698" t="s">
        <v>2172</v>
      </c>
      <c r="F349" s="699" t="s">
        <v>1169</v>
      </c>
      <c r="G349" s="704" t="s">
        <v>2199</v>
      </c>
      <c r="H349" s="702"/>
      <c r="I349" s="701">
        <v>700</v>
      </c>
      <c r="J349" s="702">
        <v>6</v>
      </c>
      <c r="K349" s="703">
        <f t="shared" si="34"/>
        <v>4200</v>
      </c>
      <c r="L349" s="702"/>
    </row>
    <row r="350" spans="1:12" s="681" customFormat="1" ht="24.95" customHeight="1" outlineLevel="3">
      <c r="A350" s="702">
        <v>3</v>
      </c>
      <c r="B350" s="702" t="s">
        <v>2257</v>
      </c>
      <c r="C350" s="702" t="s">
        <v>379</v>
      </c>
      <c r="D350" s="699" t="s">
        <v>402</v>
      </c>
      <c r="E350" s="698" t="s">
        <v>2172</v>
      </c>
      <c r="F350" s="699" t="s">
        <v>1169</v>
      </c>
      <c r="G350" s="704" t="s">
        <v>2206</v>
      </c>
      <c r="H350" s="702"/>
      <c r="I350" s="701">
        <v>2000</v>
      </c>
      <c r="J350" s="702">
        <v>4</v>
      </c>
      <c r="K350" s="703">
        <f t="shared" si="34"/>
        <v>8000</v>
      </c>
      <c r="L350" s="702"/>
    </row>
    <row r="351" spans="1:12" s="681" customFormat="1" ht="24.95" customHeight="1" outlineLevel="3">
      <c r="A351" s="702">
        <v>3</v>
      </c>
      <c r="B351" s="702" t="s">
        <v>2257</v>
      </c>
      <c r="C351" s="702" t="s">
        <v>379</v>
      </c>
      <c r="D351" s="699" t="s">
        <v>402</v>
      </c>
      <c r="E351" s="698" t="s">
        <v>2172</v>
      </c>
      <c r="F351" s="699" t="s">
        <v>1172</v>
      </c>
      <c r="G351" s="704" t="s">
        <v>2211</v>
      </c>
      <c r="H351" s="702"/>
      <c r="I351" s="701">
        <v>12000</v>
      </c>
      <c r="J351" s="702">
        <v>4</v>
      </c>
      <c r="K351" s="703">
        <f t="shared" si="34"/>
        <v>48000</v>
      </c>
      <c r="L351" s="702"/>
    </row>
    <row r="352" spans="1:12" s="681" customFormat="1" ht="24.95" customHeight="1" outlineLevel="3">
      <c r="A352" s="702">
        <v>3</v>
      </c>
      <c r="B352" s="702" t="s">
        <v>2257</v>
      </c>
      <c r="C352" s="702" t="s">
        <v>379</v>
      </c>
      <c r="D352" s="699" t="s">
        <v>402</v>
      </c>
      <c r="E352" s="698" t="s">
        <v>2172</v>
      </c>
      <c r="F352" s="710" t="s">
        <v>2200</v>
      </c>
      <c r="G352" s="704" t="s">
        <v>2201</v>
      </c>
      <c r="H352" s="702"/>
      <c r="I352" s="701">
        <v>5000</v>
      </c>
      <c r="J352" s="702">
        <v>12</v>
      </c>
      <c r="K352" s="703">
        <f t="shared" si="34"/>
        <v>60000</v>
      </c>
      <c r="L352" s="702"/>
    </row>
    <row r="353" spans="1:12" s="681" customFormat="1" ht="24.95" customHeight="1" outlineLevel="3">
      <c r="A353" s="702">
        <v>3</v>
      </c>
      <c r="B353" s="702" t="s">
        <v>2257</v>
      </c>
      <c r="C353" s="702" t="s">
        <v>379</v>
      </c>
      <c r="D353" s="699" t="s">
        <v>402</v>
      </c>
      <c r="E353" s="698" t="s">
        <v>2172</v>
      </c>
      <c r="F353" s="705" t="s">
        <v>2190</v>
      </c>
      <c r="G353" s="704" t="s">
        <v>2255</v>
      </c>
      <c r="H353" s="702"/>
      <c r="I353" s="701">
        <v>6000</v>
      </c>
      <c r="J353" s="702">
        <v>8</v>
      </c>
      <c r="K353" s="703">
        <f t="shared" si="34"/>
        <v>48000</v>
      </c>
      <c r="L353" s="702"/>
    </row>
    <row r="354" spans="1:12" s="681" customFormat="1" ht="24.95" customHeight="1" outlineLevel="1">
      <c r="A354" s="694"/>
      <c r="B354" s="694" t="s">
        <v>1200</v>
      </c>
      <c r="C354" s="694"/>
      <c r="D354" s="691"/>
      <c r="E354" s="690"/>
      <c r="F354" s="691"/>
      <c r="G354" s="691"/>
      <c r="H354" s="694"/>
      <c r="I354" s="693"/>
      <c r="J354" s="694"/>
      <c r="K354" s="695">
        <f>SUBTOTAL(9,K356:K384)</f>
        <v>408300</v>
      </c>
      <c r="L354" s="694"/>
    </row>
    <row r="355" spans="1:12" s="681" customFormat="1" ht="24.95" customHeight="1" outlineLevel="1">
      <c r="A355" s="694"/>
      <c r="B355" s="694"/>
      <c r="C355" s="694"/>
      <c r="D355" s="691" t="s">
        <v>2260</v>
      </c>
      <c r="E355" s="690"/>
      <c r="F355" s="691"/>
      <c r="G355" s="691"/>
      <c r="H355" s="694"/>
      <c r="I355" s="693"/>
      <c r="J355" s="694"/>
      <c r="K355" s="695">
        <f>SUBTOTAL(9,K356:K361)</f>
        <v>116200</v>
      </c>
      <c r="L355" s="694"/>
    </row>
    <row r="356" spans="1:12" s="681" customFormat="1" ht="24.95" customHeight="1" outlineLevel="3">
      <c r="A356" s="702">
        <v>1</v>
      </c>
      <c r="B356" s="702" t="s">
        <v>2261</v>
      </c>
      <c r="C356" s="702" t="s">
        <v>374</v>
      </c>
      <c r="D356" s="699" t="s">
        <v>473</v>
      </c>
      <c r="E356" s="698" t="s">
        <v>2172</v>
      </c>
      <c r="F356" s="699" t="s">
        <v>1169</v>
      </c>
      <c r="G356" s="699" t="s">
        <v>2173</v>
      </c>
      <c r="H356" s="702"/>
      <c r="I356" s="701">
        <v>400</v>
      </c>
      <c r="J356" s="702">
        <v>90</v>
      </c>
      <c r="K356" s="703">
        <f t="shared" ref="K356:K361" si="35">I356*J356</f>
        <v>36000</v>
      </c>
      <c r="L356" s="702"/>
    </row>
    <row r="357" spans="1:12" s="681" customFormat="1" ht="24.95" customHeight="1" outlineLevel="3">
      <c r="A357" s="702">
        <v>1</v>
      </c>
      <c r="B357" s="702" t="s">
        <v>2261</v>
      </c>
      <c r="C357" s="702" t="s">
        <v>374</v>
      </c>
      <c r="D357" s="699" t="s">
        <v>473</v>
      </c>
      <c r="E357" s="698" t="s">
        <v>2172</v>
      </c>
      <c r="F357" s="699" t="s">
        <v>1169</v>
      </c>
      <c r="G357" s="704" t="s">
        <v>1872</v>
      </c>
      <c r="H357" s="702"/>
      <c r="I357" s="701">
        <v>2000</v>
      </c>
      <c r="J357" s="702">
        <v>2</v>
      </c>
      <c r="K357" s="703">
        <f t="shared" si="35"/>
        <v>4000</v>
      </c>
      <c r="L357" s="702"/>
    </row>
    <row r="358" spans="1:12" s="681" customFormat="1" ht="24.95" customHeight="1" outlineLevel="3">
      <c r="A358" s="702">
        <v>1</v>
      </c>
      <c r="B358" s="702" t="s">
        <v>2261</v>
      </c>
      <c r="C358" s="702" t="s">
        <v>374</v>
      </c>
      <c r="D358" s="699" t="s">
        <v>473</v>
      </c>
      <c r="E358" s="698" t="s">
        <v>2172</v>
      </c>
      <c r="F358" s="699" t="s">
        <v>1169</v>
      </c>
      <c r="G358" s="704" t="s">
        <v>2174</v>
      </c>
      <c r="H358" s="702"/>
      <c r="I358" s="701">
        <v>3500</v>
      </c>
      <c r="J358" s="702">
        <v>2</v>
      </c>
      <c r="K358" s="703">
        <f t="shared" si="35"/>
        <v>7000</v>
      </c>
      <c r="L358" s="702"/>
    </row>
    <row r="359" spans="1:12" s="681" customFormat="1" ht="24.95" customHeight="1" outlineLevel="3">
      <c r="A359" s="702">
        <v>1</v>
      </c>
      <c r="B359" s="702" t="s">
        <v>2261</v>
      </c>
      <c r="C359" s="702" t="s">
        <v>374</v>
      </c>
      <c r="D359" s="699" t="s">
        <v>473</v>
      </c>
      <c r="E359" s="698" t="s">
        <v>2172</v>
      </c>
      <c r="F359" s="699" t="s">
        <v>1169</v>
      </c>
      <c r="G359" s="704" t="s">
        <v>2206</v>
      </c>
      <c r="H359" s="702"/>
      <c r="I359" s="701">
        <v>2000</v>
      </c>
      <c r="J359" s="702">
        <v>2</v>
      </c>
      <c r="K359" s="703">
        <f t="shared" si="35"/>
        <v>4000</v>
      </c>
      <c r="L359" s="702"/>
    </row>
    <row r="360" spans="1:12" s="681" customFormat="1" ht="24.95" customHeight="1" outlineLevel="3">
      <c r="A360" s="702">
        <v>1</v>
      </c>
      <c r="B360" s="702" t="s">
        <v>2261</v>
      </c>
      <c r="C360" s="702" t="s">
        <v>374</v>
      </c>
      <c r="D360" s="699" t="s">
        <v>473</v>
      </c>
      <c r="E360" s="698" t="s">
        <v>2172</v>
      </c>
      <c r="F360" s="699" t="s">
        <v>1172</v>
      </c>
      <c r="G360" s="704" t="s">
        <v>2207</v>
      </c>
      <c r="H360" s="702"/>
      <c r="I360" s="701">
        <v>18000</v>
      </c>
      <c r="J360" s="702">
        <v>2</v>
      </c>
      <c r="K360" s="703">
        <f t="shared" si="35"/>
        <v>36000</v>
      </c>
      <c r="L360" s="702"/>
    </row>
    <row r="361" spans="1:12" s="681" customFormat="1" ht="24.95" customHeight="1" outlineLevel="3">
      <c r="A361" s="702">
        <v>1</v>
      </c>
      <c r="B361" s="702" t="s">
        <v>2261</v>
      </c>
      <c r="C361" s="702" t="s">
        <v>374</v>
      </c>
      <c r="D361" s="699" t="s">
        <v>473</v>
      </c>
      <c r="E361" s="698" t="s">
        <v>2172</v>
      </c>
      <c r="F361" s="705" t="s">
        <v>2190</v>
      </c>
      <c r="G361" s="704" t="s">
        <v>2203</v>
      </c>
      <c r="H361" s="702"/>
      <c r="I361" s="701">
        <v>7300</v>
      </c>
      <c r="J361" s="702">
        <v>4</v>
      </c>
      <c r="K361" s="703">
        <f t="shared" si="35"/>
        <v>29200</v>
      </c>
      <c r="L361" s="702"/>
    </row>
    <row r="362" spans="1:12" s="681" customFormat="1" ht="24.95" customHeight="1" outlineLevel="1">
      <c r="A362" s="694"/>
      <c r="B362" s="694"/>
      <c r="C362" s="694"/>
      <c r="D362" s="691" t="s">
        <v>2262</v>
      </c>
      <c r="E362" s="690"/>
      <c r="F362" s="691"/>
      <c r="G362" s="691"/>
      <c r="H362" s="694"/>
      <c r="I362" s="693"/>
      <c r="J362" s="694"/>
      <c r="K362" s="695">
        <f>SUBTOTAL(9,K363:K367)</f>
        <v>35500</v>
      </c>
      <c r="L362" s="694"/>
    </row>
    <row r="363" spans="1:12" s="681" customFormat="1" ht="24.95" customHeight="1" outlineLevel="3">
      <c r="A363" s="702">
        <v>2</v>
      </c>
      <c r="B363" s="702" t="s">
        <v>2261</v>
      </c>
      <c r="C363" s="702" t="s">
        <v>379</v>
      </c>
      <c r="D363" s="699" t="s">
        <v>2263</v>
      </c>
      <c r="E363" s="698" t="s">
        <v>2172</v>
      </c>
      <c r="F363" s="699" t="s">
        <v>1169</v>
      </c>
      <c r="G363" s="699" t="s">
        <v>2173</v>
      </c>
      <c r="H363" s="702"/>
      <c r="I363" s="701">
        <v>400</v>
      </c>
      <c r="J363" s="702">
        <v>40</v>
      </c>
      <c r="K363" s="703">
        <f t="shared" ref="K363:K367" si="36">I363*J363</f>
        <v>16000</v>
      </c>
      <c r="L363" s="702"/>
    </row>
    <row r="364" spans="1:12" s="681" customFormat="1" ht="24.95" customHeight="1" outlineLevel="3">
      <c r="A364" s="702">
        <v>2</v>
      </c>
      <c r="B364" s="702" t="s">
        <v>2261</v>
      </c>
      <c r="C364" s="702" t="s">
        <v>379</v>
      </c>
      <c r="D364" s="699" t="s">
        <v>2263</v>
      </c>
      <c r="E364" s="698" t="s">
        <v>2172</v>
      </c>
      <c r="F364" s="699" t="s">
        <v>1169</v>
      </c>
      <c r="G364" s="704" t="s">
        <v>1872</v>
      </c>
      <c r="H364" s="702"/>
      <c r="I364" s="701">
        <v>2000</v>
      </c>
      <c r="J364" s="702">
        <v>1</v>
      </c>
      <c r="K364" s="703">
        <f t="shared" si="36"/>
        <v>2000</v>
      </c>
      <c r="L364" s="702"/>
    </row>
    <row r="365" spans="1:12" s="681" customFormat="1" ht="24.95" customHeight="1" outlineLevel="3">
      <c r="A365" s="702">
        <v>2</v>
      </c>
      <c r="B365" s="702" t="s">
        <v>2261</v>
      </c>
      <c r="C365" s="702" t="s">
        <v>379</v>
      </c>
      <c r="D365" s="699" t="s">
        <v>2263</v>
      </c>
      <c r="E365" s="698" t="s">
        <v>2172</v>
      </c>
      <c r="F365" s="699" t="s">
        <v>1169</v>
      </c>
      <c r="G365" s="704" t="s">
        <v>2174</v>
      </c>
      <c r="H365" s="702"/>
      <c r="I365" s="701">
        <v>3500</v>
      </c>
      <c r="J365" s="702">
        <v>1</v>
      </c>
      <c r="K365" s="703">
        <f t="shared" si="36"/>
        <v>3500</v>
      </c>
      <c r="L365" s="702"/>
    </row>
    <row r="366" spans="1:12" s="681" customFormat="1" ht="24.95" customHeight="1" outlineLevel="3">
      <c r="A366" s="702">
        <v>2</v>
      </c>
      <c r="B366" s="702" t="s">
        <v>2261</v>
      </c>
      <c r="C366" s="702" t="s">
        <v>379</v>
      </c>
      <c r="D366" s="699" t="s">
        <v>2263</v>
      </c>
      <c r="E366" s="698" t="s">
        <v>2172</v>
      </c>
      <c r="F366" s="699" t="s">
        <v>1169</v>
      </c>
      <c r="G366" s="704" t="s">
        <v>2206</v>
      </c>
      <c r="H366" s="702"/>
      <c r="I366" s="701">
        <v>2000</v>
      </c>
      <c r="J366" s="702">
        <v>1</v>
      </c>
      <c r="K366" s="703">
        <f t="shared" si="36"/>
        <v>2000</v>
      </c>
      <c r="L366" s="702"/>
    </row>
    <row r="367" spans="1:12" s="681" customFormat="1" ht="24.95" customHeight="1" outlineLevel="3">
      <c r="A367" s="702">
        <v>2</v>
      </c>
      <c r="B367" s="702" t="s">
        <v>2261</v>
      </c>
      <c r="C367" s="702" t="s">
        <v>379</v>
      </c>
      <c r="D367" s="699" t="s">
        <v>2263</v>
      </c>
      <c r="E367" s="698" t="s">
        <v>2172</v>
      </c>
      <c r="F367" s="699" t="s">
        <v>1172</v>
      </c>
      <c r="G367" s="704" t="s">
        <v>2211</v>
      </c>
      <c r="H367" s="702"/>
      <c r="I367" s="701">
        <v>12000</v>
      </c>
      <c r="J367" s="702">
        <v>1</v>
      </c>
      <c r="K367" s="703">
        <f t="shared" si="36"/>
        <v>12000</v>
      </c>
      <c r="L367" s="702"/>
    </row>
    <row r="368" spans="1:12" s="681" customFormat="1" ht="24.95" customHeight="1" outlineLevel="1">
      <c r="A368" s="688"/>
      <c r="B368" s="688"/>
      <c r="C368" s="688"/>
      <c r="D368" s="689" t="s">
        <v>2264</v>
      </c>
      <c r="E368" s="690"/>
      <c r="F368" s="706"/>
      <c r="G368" s="707"/>
      <c r="H368" s="692"/>
      <c r="I368" s="708"/>
      <c r="J368" s="709"/>
      <c r="K368" s="695">
        <f>SUBTOTAL(9,K369:K384)</f>
        <v>256600</v>
      </c>
      <c r="L368" s="691"/>
    </row>
    <row r="369" spans="1:12" s="681" customFormat="1" ht="24.95" customHeight="1" outlineLevel="3">
      <c r="A369" s="696">
        <v>3</v>
      </c>
      <c r="B369" s="696" t="s">
        <v>2261</v>
      </c>
      <c r="C369" s="696" t="s">
        <v>382</v>
      </c>
      <c r="D369" s="697" t="s">
        <v>484</v>
      </c>
      <c r="E369" s="698" t="s">
        <v>2172</v>
      </c>
      <c r="F369" s="710" t="s">
        <v>1169</v>
      </c>
      <c r="G369" s="705" t="s">
        <v>2178</v>
      </c>
      <c r="H369" s="700" t="s">
        <v>2179</v>
      </c>
      <c r="I369" s="711">
        <v>650</v>
      </c>
      <c r="J369" s="712">
        <v>15</v>
      </c>
      <c r="K369" s="703">
        <f t="shared" ref="K369:K384" si="37">I369*J369</f>
        <v>9750</v>
      </c>
      <c r="L369" s="699"/>
    </row>
    <row r="370" spans="1:12" s="681" customFormat="1" ht="24.95" customHeight="1" outlineLevel="3">
      <c r="A370" s="696">
        <v>3</v>
      </c>
      <c r="B370" s="696" t="s">
        <v>2261</v>
      </c>
      <c r="C370" s="696" t="s">
        <v>382</v>
      </c>
      <c r="D370" s="697" t="s">
        <v>484</v>
      </c>
      <c r="E370" s="698" t="s">
        <v>2172</v>
      </c>
      <c r="F370" s="710" t="s">
        <v>1169</v>
      </c>
      <c r="G370" s="705" t="s">
        <v>2180</v>
      </c>
      <c r="H370" s="700" t="s">
        <v>2179</v>
      </c>
      <c r="I370" s="711">
        <v>650</v>
      </c>
      <c r="J370" s="712">
        <v>15</v>
      </c>
      <c r="K370" s="703">
        <f t="shared" si="37"/>
        <v>9750</v>
      </c>
      <c r="L370" s="699"/>
    </row>
    <row r="371" spans="1:12" s="681" customFormat="1" ht="24.95" customHeight="1" outlineLevel="3">
      <c r="A371" s="696">
        <v>3</v>
      </c>
      <c r="B371" s="696" t="s">
        <v>2261</v>
      </c>
      <c r="C371" s="696" t="s">
        <v>382</v>
      </c>
      <c r="D371" s="697" t="s">
        <v>484</v>
      </c>
      <c r="E371" s="698" t="s">
        <v>2172</v>
      </c>
      <c r="F371" s="710" t="s">
        <v>1169</v>
      </c>
      <c r="G371" s="705" t="s">
        <v>2215</v>
      </c>
      <c r="H371" s="705" t="s">
        <v>2216</v>
      </c>
      <c r="I371" s="711">
        <v>380</v>
      </c>
      <c r="J371" s="712">
        <v>90</v>
      </c>
      <c r="K371" s="703">
        <f t="shared" si="37"/>
        <v>34200</v>
      </c>
      <c r="L371" s="699"/>
    </row>
    <row r="372" spans="1:12" s="681" customFormat="1" ht="24.95" customHeight="1" outlineLevel="3">
      <c r="A372" s="696">
        <v>3</v>
      </c>
      <c r="B372" s="696" t="s">
        <v>2261</v>
      </c>
      <c r="C372" s="696" t="s">
        <v>382</v>
      </c>
      <c r="D372" s="697" t="s">
        <v>484</v>
      </c>
      <c r="E372" s="698" t="s">
        <v>2172</v>
      </c>
      <c r="F372" s="710" t="s">
        <v>1169</v>
      </c>
      <c r="G372" s="705" t="s">
        <v>2181</v>
      </c>
      <c r="H372" s="705" t="s">
        <v>2182</v>
      </c>
      <c r="I372" s="713">
        <v>2400</v>
      </c>
      <c r="J372" s="712">
        <v>3</v>
      </c>
      <c r="K372" s="703">
        <f t="shared" si="37"/>
        <v>7200</v>
      </c>
      <c r="L372" s="699"/>
    </row>
    <row r="373" spans="1:12" s="681" customFormat="1" ht="24.95" customHeight="1" outlineLevel="3">
      <c r="A373" s="696">
        <v>3</v>
      </c>
      <c r="B373" s="696" t="s">
        <v>2261</v>
      </c>
      <c r="C373" s="696" t="s">
        <v>382</v>
      </c>
      <c r="D373" s="697" t="s">
        <v>484</v>
      </c>
      <c r="E373" s="698" t="s">
        <v>2172</v>
      </c>
      <c r="F373" s="710" t="s">
        <v>1169</v>
      </c>
      <c r="G373" s="705" t="s">
        <v>2183</v>
      </c>
      <c r="H373" s="705" t="s">
        <v>2184</v>
      </c>
      <c r="I373" s="711">
        <v>700</v>
      </c>
      <c r="J373" s="712">
        <v>3</v>
      </c>
      <c r="K373" s="703">
        <f t="shared" si="37"/>
        <v>2100</v>
      </c>
      <c r="L373" s="699"/>
    </row>
    <row r="374" spans="1:12" s="681" customFormat="1" ht="24.95" customHeight="1" outlineLevel="3">
      <c r="A374" s="696">
        <v>3</v>
      </c>
      <c r="B374" s="696" t="s">
        <v>2261</v>
      </c>
      <c r="C374" s="696" t="s">
        <v>382</v>
      </c>
      <c r="D374" s="697" t="s">
        <v>484</v>
      </c>
      <c r="E374" s="698" t="s">
        <v>2172</v>
      </c>
      <c r="F374" s="710" t="s">
        <v>1169</v>
      </c>
      <c r="G374" s="705" t="s">
        <v>2185</v>
      </c>
      <c r="H374" s="705" t="s">
        <v>2186</v>
      </c>
      <c r="I374" s="711">
        <v>6000</v>
      </c>
      <c r="J374" s="712">
        <v>3</v>
      </c>
      <c r="K374" s="703">
        <f t="shared" si="37"/>
        <v>18000</v>
      </c>
      <c r="L374" s="699"/>
    </row>
    <row r="375" spans="1:12" s="681" customFormat="1" ht="24.95" customHeight="1" outlineLevel="3">
      <c r="A375" s="696">
        <v>3</v>
      </c>
      <c r="B375" s="696" t="s">
        <v>2261</v>
      </c>
      <c r="C375" s="696" t="s">
        <v>382</v>
      </c>
      <c r="D375" s="697" t="s">
        <v>484</v>
      </c>
      <c r="E375" s="698" t="s">
        <v>2172</v>
      </c>
      <c r="F375" s="710" t="s">
        <v>1169</v>
      </c>
      <c r="G375" s="705" t="s">
        <v>2198</v>
      </c>
      <c r="H375" s="705"/>
      <c r="I375" s="711">
        <v>1600</v>
      </c>
      <c r="J375" s="712">
        <v>2</v>
      </c>
      <c r="K375" s="703">
        <f t="shared" si="37"/>
        <v>3200</v>
      </c>
      <c r="L375" s="699"/>
    </row>
    <row r="376" spans="1:12" s="681" customFormat="1" ht="24.95" customHeight="1" outlineLevel="3">
      <c r="A376" s="696">
        <v>3</v>
      </c>
      <c r="B376" s="696" t="s">
        <v>2261</v>
      </c>
      <c r="C376" s="696" t="s">
        <v>382</v>
      </c>
      <c r="D376" s="697" t="s">
        <v>484</v>
      </c>
      <c r="E376" s="698" t="s">
        <v>2172</v>
      </c>
      <c r="F376" s="710" t="s">
        <v>1169</v>
      </c>
      <c r="G376" s="705" t="s">
        <v>2220</v>
      </c>
      <c r="H376" s="705"/>
      <c r="I376" s="711">
        <v>700</v>
      </c>
      <c r="J376" s="712">
        <v>1</v>
      </c>
      <c r="K376" s="703">
        <f t="shared" si="37"/>
        <v>700</v>
      </c>
      <c r="L376" s="699"/>
    </row>
    <row r="377" spans="1:12" s="681" customFormat="1" ht="24.95" customHeight="1" outlineLevel="3">
      <c r="A377" s="696">
        <v>3</v>
      </c>
      <c r="B377" s="696" t="s">
        <v>2261</v>
      </c>
      <c r="C377" s="696" t="s">
        <v>382</v>
      </c>
      <c r="D377" s="697" t="s">
        <v>484</v>
      </c>
      <c r="E377" s="698" t="s">
        <v>2172</v>
      </c>
      <c r="F377" s="710" t="s">
        <v>1175</v>
      </c>
      <c r="G377" s="705" t="s">
        <v>1175</v>
      </c>
      <c r="H377" s="705" t="s">
        <v>2187</v>
      </c>
      <c r="I377" s="711">
        <v>13000</v>
      </c>
      <c r="J377" s="712">
        <v>3</v>
      </c>
      <c r="K377" s="703">
        <f t="shared" si="37"/>
        <v>39000</v>
      </c>
      <c r="L377" s="699"/>
    </row>
    <row r="378" spans="1:12" s="681" customFormat="1" ht="24.95" customHeight="1" outlineLevel="3">
      <c r="A378" s="696">
        <v>3</v>
      </c>
      <c r="B378" s="696" t="s">
        <v>2261</v>
      </c>
      <c r="C378" s="696" t="s">
        <v>382</v>
      </c>
      <c r="D378" s="697" t="s">
        <v>484</v>
      </c>
      <c r="E378" s="698" t="s">
        <v>2172</v>
      </c>
      <c r="F378" s="710" t="s">
        <v>2188</v>
      </c>
      <c r="G378" s="705" t="s">
        <v>2188</v>
      </c>
      <c r="H378" s="714" t="s">
        <v>2189</v>
      </c>
      <c r="I378" s="713">
        <v>9000</v>
      </c>
      <c r="J378" s="712">
        <v>3</v>
      </c>
      <c r="K378" s="703">
        <f t="shared" si="37"/>
        <v>27000</v>
      </c>
      <c r="L378" s="699"/>
    </row>
    <row r="379" spans="1:12" s="681" customFormat="1" ht="24.95" customHeight="1" outlineLevel="3">
      <c r="A379" s="696">
        <v>3</v>
      </c>
      <c r="B379" s="696" t="s">
        <v>2261</v>
      </c>
      <c r="C379" s="696" t="s">
        <v>382</v>
      </c>
      <c r="D379" s="697" t="s">
        <v>484</v>
      </c>
      <c r="E379" s="698" t="s">
        <v>2172</v>
      </c>
      <c r="F379" s="710" t="s">
        <v>2200</v>
      </c>
      <c r="G379" s="705" t="s">
        <v>2265</v>
      </c>
      <c r="H379" s="705"/>
      <c r="I379" s="711">
        <v>5000</v>
      </c>
      <c r="J379" s="712">
        <v>2</v>
      </c>
      <c r="K379" s="703">
        <f t="shared" si="37"/>
        <v>10000</v>
      </c>
      <c r="L379" s="699"/>
    </row>
    <row r="380" spans="1:12" s="681" customFormat="1" ht="24.95" customHeight="1" outlineLevel="3">
      <c r="A380" s="696">
        <v>3</v>
      </c>
      <c r="B380" s="696" t="s">
        <v>2261</v>
      </c>
      <c r="C380" s="696" t="s">
        <v>382</v>
      </c>
      <c r="D380" s="697" t="s">
        <v>484</v>
      </c>
      <c r="E380" s="698" t="s">
        <v>2172</v>
      </c>
      <c r="F380" s="705" t="s">
        <v>2190</v>
      </c>
      <c r="G380" s="705" t="s">
        <v>2191</v>
      </c>
      <c r="H380" s="705"/>
      <c r="I380" s="711">
        <v>7300</v>
      </c>
      <c r="J380" s="712">
        <v>3</v>
      </c>
      <c r="K380" s="703">
        <f t="shared" si="37"/>
        <v>21900</v>
      </c>
      <c r="L380" s="699"/>
    </row>
    <row r="381" spans="1:12" s="681" customFormat="1" ht="24.95" customHeight="1" outlineLevel="3">
      <c r="A381" s="696">
        <v>3</v>
      </c>
      <c r="B381" s="696" t="s">
        <v>2261</v>
      </c>
      <c r="C381" s="696" t="s">
        <v>382</v>
      </c>
      <c r="D381" s="697" t="s">
        <v>484</v>
      </c>
      <c r="E381" s="698" t="s">
        <v>2172</v>
      </c>
      <c r="F381" s="705" t="s">
        <v>2190</v>
      </c>
      <c r="G381" s="705" t="s">
        <v>2192</v>
      </c>
      <c r="H381" s="705"/>
      <c r="I381" s="711">
        <v>12000</v>
      </c>
      <c r="J381" s="712">
        <v>3</v>
      </c>
      <c r="K381" s="703">
        <f t="shared" si="37"/>
        <v>36000</v>
      </c>
      <c r="L381" s="699"/>
    </row>
    <row r="382" spans="1:12" s="681" customFormat="1" ht="24.95" customHeight="1" outlineLevel="3">
      <c r="A382" s="696">
        <v>3</v>
      </c>
      <c r="B382" s="696" t="s">
        <v>2261</v>
      </c>
      <c r="C382" s="696" t="s">
        <v>382</v>
      </c>
      <c r="D382" s="697" t="s">
        <v>484</v>
      </c>
      <c r="E382" s="698" t="s">
        <v>2172</v>
      </c>
      <c r="F382" s="715" t="s">
        <v>1172</v>
      </c>
      <c r="G382" s="705" t="s">
        <v>2193</v>
      </c>
      <c r="H382" s="705"/>
      <c r="I382" s="713">
        <v>10000</v>
      </c>
      <c r="J382" s="712">
        <v>3</v>
      </c>
      <c r="K382" s="703">
        <f t="shared" si="37"/>
        <v>30000</v>
      </c>
      <c r="L382" s="699"/>
    </row>
    <row r="383" spans="1:12" s="681" customFormat="1" ht="24.95" customHeight="1" outlineLevel="3">
      <c r="A383" s="696">
        <v>3</v>
      </c>
      <c r="B383" s="696" t="s">
        <v>2261</v>
      </c>
      <c r="C383" s="696" t="s">
        <v>382</v>
      </c>
      <c r="D383" s="697" t="s">
        <v>484</v>
      </c>
      <c r="E383" s="698" t="s">
        <v>2172</v>
      </c>
      <c r="F383" s="705" t="s">
        <v>2194</v>
      </c>
      <c r="G383" s="705" t="s">
        <v>2194</v>
      </c>
      <c r="H383" s="705"/>
      <c r="I383" s="713">
        <v>1200</v>
      </c>
      <c r="J383" s="712">
        <v>3</v>
      </c>
      <c r="K383" s="703">
        <f t="shared" si="37"/>
        <v>3600</v>
      </c>
      <c r="L383" s="699"/>
    </row>
    <row r="384" spans="1:12" s="681" customFormat="1" ht="24.95" customHeight="1" outlineLevel="3">
      <c r="A384" s="696">
        <v>3</v>
      </c>
      <c r="B384" s="696" t="s">
        <v>2261</v>
      </c>
      <c r="C384" s="696" t="s">
        <v>382</v>
      </c>
      <c r="D384" s="697" t="s">
        <v>484</v>
      </c>
      <c r="E384" s="698" t="s">
        <v>2172</v>
      </c>
      <c r="F384" s="705" t="s">
        <v>2195</v>
      </c>
      <c r="G384" s="705" t="s">
        <v>2195</v>
      </c>
      <c r="H384" s="705"/>
      <c r="I384" s="713">
        <v>1400</v>
      </c>
      <c r="J384" s="712">
        <v>3</v>
      </c>
      <c r="K384" s="703">
        <f t="shared" si="37"/>
        <v>4200</v>
      </c>
      <c r="L384" s="699"/>
    </row>
    <row r="385" spans="11:11" s="681" customFormat="1" ht="30" customHeight="1">
      <c r="K385" s="213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L199"/>
  <sheetViews>
    <sheetView topLeftCell="A91" workbookViewId="0">
      <selection activeCell="K4" sqref="K4:K192"/>
    </sheetView>
  </sheetViews>
  <sheetFormatPr defaultColWidth="8.875" defaultRowHeight="13.5"/>
  <cols>
    <col min="1" max="1" width="4.25" style="639" customWidth="1"/>
    <col min="2" max="2" width="4.125" style="639" customWidth="1"/>
    <col min="3" max="3" width="6.625" style="639" customWidth="1"/>
    <col min="4" max="4" width="5.375" style="639" customWidth="1"/>
    <col min="5" max="5" width="10.875" style="639" customWidth="1"/>
    <col min="6" max="6" width="15.75" style="639" customWidth="1"/>
    <col min="7" max="7" width="8.875" style="639"/>
    <col min="8" max="8" width="9.75" style="639" customWidth="1"/>
    <col min="9" max="9" width="12.25" style="639" customWidth="1"/>
    <col min="10" max="10" width="14" style="639" customWidth="1"/>
    <col min="11" max="11" width="8.875" style="639"/>
    <col min="12" max="12" width="10.5" style="639" customWidth="1"/>
    <col min="13" max="16384" width="8.875" style="639"/>
  </cols>
  <sheetData>
    <row r="1" spans="1:11" ht="30" customHeight="1">
      <c r="A1" s="1099" t="s">
        <v>1910</v>
      </c>
      <c r="B1" s="1099"/>
      <c r="C1" s="1099"/>
      <c r="D1" s="1099"/>
      <c r="E1" s="1099"/>
      <c r="F1" s="1099"/>
      <c r="G1" s="1099"/>
      <c r="H1" s="1099"/>
      <c r="I1" s="1099"/>
      <c r="J1" s="1099"/>
      <c r="K1" s="1100"/>
    </row>
    <row r="2" spans="1:11" ht="20.100000000000001" customHeight="1">
      <c r="A2" s="1101" t="s">
        <v>2</v>
      </c>
      <c r="B2" s="1102" t="s">
        <v>1589</v>
      </c>
      <c r="C2" s="1101" t="s">
        <v>1419</v>
      </c>
      <c r="D2" s="1101"/>
      <c r="E2" s="1101" t="s">
        <v>1365</v>
      </c>
      <c r="F2" s="1101"/>
      <c r="G2" s="1104" t="s">
        <v>1911</v>
      </c>
      <c r="H2" s="1104"/>
      <c r="I2" s="1104"/>
      <c r="J2" s="1104"/>
      <c r="K2" s="1105" t="s">
        <v>1912</v>
      </c>
    </row>
    <row r="3" spans="1:11" ht="20.100000000000001" customHeight="1">
      <c r="A3" s="1101"/>
      <c r="B3" s="1103"/>
      <c r="C3" s="1101"/>
      <c r="D3" s="1101"/>
      <c r="E3" s="1101"/>
      <c r="F3" s="1101"/>
      <c r="G3" s="640" t="s">
        <v>533</v>
      </c>
      <c r="H3" s="641" t="s">
        <v>1366</v>
      </c>
      <c r="I3" s="641" t="s">
        <v>695</v>
      </c>
      <c r="J3" s="641" t="s">
        <v>696</v>
      </c>
      <c r="K3" s="1106"/>
    </row>
    <row r="4" spans="1:11" s="649" customFormat="1" ht="20.100000000000001" customHeight="1">
      <c r="A4" s="1074" t="s">
        <v>1913</v>
      </c>
      <c r="B4" s="1093" t="s">
        <v>1914</v>
      </c>
      <c r="C4" s="1074" t="s">
        <v>1459</v>
      </c>
      <c r="D4" s="1074"/>
      <c r="E4" s="1074" t="s">
        <v>1915</v>
      </c>
      <c r="F4" s="1074"/>
      <c r="G4" s="645" t="s">
        <v>1372</v>
      </c>
      <c r="H4" s="646">
        <v>2300</v>
      </c>
      <c r="I4" s="647">
        <v>210</v>
      </c>
      <c r="J4" s="648">
        <f>H4*I4</f>
        <v>483000</v>
      </c>
      <c r="K4" s="1096">
        <f>ROUND(J192*0.8,0)</f>
        <v>4303484</v>
      </c>
    </row>
    <row r="5" spans="1:11" s="649" customFormat="1" ht="20.100000000000001" customHeight="1">
      <c r="A5" s="1074"/>
      <c r="B5" s="1094"/>
      <c r="C5" s="1074"/>
      <c r="D5" s="1074"/>
      <c r="E5" s="1074" t="s">
        <v>1916</v>
      </c>
      <c r="F5" s="1074"/>
      <c r="G5" s="645" t="s">
        <v>1388</v>
      </c>
      <c r="H5" s="646">
        <v>250</v>
      </c>
      <c r="I5" s="647">
        <v>140</v>
      </c>
      <c r="J5" s="648">
        <f t="shared" ref="J5:J175" si="0">H5*I5</f>
        <v>35000</v>
      </c>
      <c r="K5" s="1097"/>
    </row>
    <row r="6" spans="1:11" s="649" customFormat="1" ht="20.100000000000001" customHeight="1">
      <c r="A6" s="1074"/>
      <c r="B6" s="1094"/>
      <c r="C6" s="1074"/>
      <c r="D6" s="1074"/>
      <c r="E6" s="1074" t="s">
        <v>1917</v>
      </c>
      <c r="F6" s="1074"/>
      <c r="G6" s="650" t="s">
        <v>1388</v>
      </c>
      <c r="H6" s="646">
        <v>170</v>
      </c>
      <c r="I6" s="647">
        <v>140</v>
      </c>
      <c r="J6" s="648">
        <f t="shared" si="0"/>
        <v>23800</v>
      </c>
      <c r="K6" s="1097"/>
    </row>
    <row r="7" spans="1:11" s="649" customFormat="1" ht="20.100000000000001" customHeight="1">
      <c r="A7" s="1074"/>
      <c r="B7" s="1094"/>
      <c r="C7" s="1074"/>
      <c r="D7" s="1074"/>
      <c r="E7" s="1074" t="s">
        <v>1918</v>
      </c>
      <c r="F7" s="1074"/>
      <c r="G7" s="645" t="s">
        <v>1372</v>
      </c>
      <c r="H7" s="646">
        <v>1216</v>
      </c>
      <c r="I7" s="647">
        <v>210</v>
      </c>
      <c r="J7" s="648">
        <f t="shared" si="0"/>
        <v>255360</v>
      </c>
      <c r="K7" s="1097"/>
    </row>
    <row r="8" spans="1:11" s="649" customFormat="1" ht="20.100000000000001" customHeight="1">
      <c r="A8" s="1074"/>
      <c r="B8" s="1094"/>
      <c r="C8" s="1074"/>
      <c r="D8" s="1074"/>
      <c r="E8" s="1087" t="s">
        <v>1919</v>
      </c>
      <c r="F8" s="1088"/>
      <c r="G8" s="645" t="s">
        <v>1372</v>
      </c>
      <c r="H8" s="646">
        <v>200</v>
      </c>
      <c r="I8" s="647">
        <v>210</v>
      </c>
      <c r="J8" s="648">
        <f t="shared" si="0"/>
        <v>42000</v>
      </c>
      <c r="K8" s="1097"/>
    </row>
    <row r="9" spans="1:11" s="649" customFormat="1" ht="20.100000000000001" customHeight="1">
      <c r="A9" s="1074"/>
      <c r="B9" s="1094"/>
      <c r="C9" s="1074"/>
      <c r="D9" s="1074"/>
      <c r="E9" s="1091"/>
      <c r="F9" s="1092"/>
      <c r="G9" s="645" t="s">
        <v>1372</v>
      </c>
      <c r="H9" s="646">
        <f>J9/I9</f>
        <v>16.666666666666668</v>
      </c>
      <c r="I9" s="647">
        <v>360</v>
      </c>
      <c r="J9" s="648">
        <v>6000</v>
      </c>
      <c r="K9" s="1097"/>
    </row>
    <row r="10" spans="1:11" s="649" customFormat="1" ht="20.100000000000001" customHeight="1">
      <c r="A10" s="1074"/>
      <c r="B10" s="1094"/>
      <c r="C10" s="1074"/>
      <c r="D10" s="1074"/>
      <c r="E10" s="1074" t="s">
        <v>1920</v>
      </c>
      <c r="F10" s="1074"/>
      <c r="G10" s="645" t="s">
        <v>1372</v>
      </c>
      <c r="H10" s="646">
        <v>3656</v>
      </c>
      <c r="I10" s="647">
        <v>370</v>
      </c>
      <c r="J10" s="648">
        <f t="shared" ref="J10:J11" si="1">H10*I10</f>
        <v>1352720</v>
      </c>
      <c r="K10" s="1097"/>
    </row>
    <row r="11" spans="1:11" s="649" customFormat="1" ht="20.100000000000001" customHeight="1">
      <c r="A11" s="1074"/>
      <c r="B11" s="1094"/>
      <c r="C11" s="1074"/>
      <c r="D11" s="1074"/>
      <c r="E11" s="1087" t="s">
        <v>1921</v>
      </c>
      <c r="F11" s="1088"/>
      <c r="G11" s="1081" t="s">
        <v>1372</v>
      </c>
      <c r="H11" s="1084">
        <v>4385</v>
      </c>
      <c r="I11" s="1107">
        <v>12.7</v>
      </c>
      <c r="J11" s="1078">
        <f t="shared" si="1"/>
        <v>55689.5</v>
      </c>
      <c r="K11" s="1097"/>
    </row>
    <row r="12" spans="1:11" s="649" customFormat="1" ht="20.100000000000001" customHeight="1">
      <c r="A12" s="1074"/>
      <c r="B12" s="1094"/>
      <c r="C12" s="1074"/>
      <c r="D12" s="1074"/>
      <c r="E12" s="1089"/>
      <c r="F12" s="1090"/>
      <c r="G12" s="1083"/>
      <c r="H12" s="1086"/>
      <c r="I12" s="1108"/>
      <c r="J12" s="1080"/>
      <c r="K12" s="1097"/>
    </row>
    <row r="13" spans="1:11" s="649" customFormat="1" ht="20.100000000000001" customHeight="1">
      <c r="A13" s="1074"/>
      <c r="B13" s="1094"/>
      <c r="C13" s="1074"/>
      <c r="D13" s="1074"/>
      <c r="E13" s="1089"/>
      <c r="F13" s="1090"/>
      <c r="G13" s="645" t="s">
        <v>1372</v>
      </c>
      <c r="H13" s="646">
        <v>50</v>
      </c>
      <c r="I13" s="647">
        <v>1500</v>
      </c>
      <c r="J13" s="648">
        <f>H13*I13</f>
        <v>75000</v>
      </c>
      <c r="K13" s="1097"/>
    </row>
    <row r="14" spans="1:11" s="649" customFormat="1" ht="20.100000000000001" customHeight="1">
      <c r="A14" s="1074"/>
      <c r="B14" s="1094"/>
      <c r="C14" s="1074"/>
      <c r="D14" s="1074"/>
      <c r="E14" s="1089"/>
      <c r="F14" s="1090"/>
      <c r="G14" s="645" t="s">
        <v>1441</v>
      </c>
      <c r="H14" s="646">
        <v>1</v>
      </c>
      <c r="I14" s="647">
        <v>5000</v>
      </c>
      <c r="J14" s="648">
        <f t="shared" ref="J14:J22" si="2">H14*I14</f>
        <v>5000</v>
      </c>
      <c r="K14" s="1097"/>
    </row>
    <row r="15" spans="1:11" s="649" customFormat="1" ht="20.100000000000001" customHeight="1">
      <c r="A15" s="1074"/>
      <c r="B15" s="1094"/>
      <c r="C15" s="1074"/>
      <c r="D15" s="1074"/>
      <c r="E15" s="1089"/>
      <c r="F15" s="1090"/>
      <c r="G15" s="645" t="s">
        <v>1922</v>
      </c>
      <c r="H15" s="646">
        <v>8</v>
      </c>
      <c r="I15" s="647">
        <v>450</v>
      </c>
      <c r="J15" s="648">
        <f t="shared" si="2"/>
        <v>3600</v>
      </c>
      <c r="K15" s="1097"/>
    </row>
    <row r="16" spans="1:11" s="649" customFormat="1" ht="20.100000000000001" customHeight="1">
      <c r="A16" s="1074"/>
      <c r="B16" s="1094"/>
      <c r="C16" s="1074"/>
      <c r="D16" s="1074"/>
      <c r="E16" s="1089"/>
      <c r="F16" s="1090"/>
      <c r="G16" s="645" t="s">
        <v>1922</v>
      </c>
      <c r="H16" s="646">
        <v>6</v>
      </c>
      <c r="I16" s="647">
        <v>450</v>
      </c>
      <c r="J16" s="648">
        <f t="shared" si="2"/>
        <v>2700</v>
      </c>
      <c r="K16" s="1097"/>
    </row>
    <row r="17" spans="1:12" s="649" customFormat="1" ht="20.100000000000001" customHeight="1">
      <c r="A17" s="1074"/>
      <c r="B17" s="1094"/>
      <c r="C17" s="1074"/>
      <c r="D17" s="1074"/>
      <c r="E17" s="1089"/>
      <c r="F17" s="1090"/>
      <c r="G17" s="645" t="s">
        <v>1922</v>
      </c>
      <c r="H17" s="646">
        <v>10</v>
      </c>
      <c r="I17" s="647">
        <v>450</v>
      </c>
      <c r="J17" s="648">
        <f t="shared" si="2"/>
        <v>4500</v>
      </c>
      <c r="K17" s="1097"/>
    </row>
    <row r="18" spans="1:12" s="649" customFormat="1" ht="20.100000000000001" customHeight="1">
      <c r="A18" s="1074"/>
      <c r="B18" s="1094"/>
      <c r="C18" s="1074"/>
      <c r="D18" s="1074"/>
      <c r="E18" s="1089"/>
      <c r="F18" s="1090"/>
      <c r="G18" s="645" t="s">
        <v>1922</v>
      </c>
      <c r="H18" s="646">
        <v>4</v>
      </c>
      <c r="I18" s="647">
        <v>450</v>
      </c>
      <c r="J18" s="648">
        <f t="shared" si="2"/>
        <v>1800</v>
      </c>
      <c r="K18" s="1097"/>
    </row>
    <row r="19" spans="1:12" s="649" customFormat="1" ht="20.100000000000001" customHeight="1">
      <c r="A19" s="1074"/>
      <c r="B19" s="1094"/>
      <c r="C19" s="1074"/>
      <c r="D19" s="1074"/>
      <c r="E19" s="1089"/>
      <c r="F19" s="1090"/>
      <c r="G19" s="645" t="s">
        <v>1922</v>
      </c>
      <c r="H19" s="646">
        <v>10</v>
      </c>
      <c r="I19" s="647">
        <v>450</v>
      </c>
      <c r="J19" s="648">
        <f t="shared" si="2"/>
        <v>4500</v>
      </c>
      <c r="K19" s="1097"/>
    </row>
    <row r="20" spans="1:12" s="649" customFormat="1" ht="20.100000000000001" customHeight="1">
      <c r="A20" s="1074"/>
      <c r="B20" s="1094"/>
      <c r="C20" s="1074"/>
      <c r="D20" s="1074"/>
      <c r="E20" s="1089"/>
      <c r="F20" s="1090"/>
      <c r="G20" s="645" t="s">
        <v>1922</v>
      </c>
      <c r="H20" s="646">
        <v>10</v>
      </c>
      <c r="I20" s="647">
        <v>90</v>
      </c>
      <c r="J20" s="648">
        <f t="shared" si="2"/>
        <v>900</v>
      </c>
      <c r="K20" s="1097"/>
    </row>
    <row r="21" spans="1:12" s="649" customFormat="1" ht="20.100000000000001" customHeight="1">
      <c r="A21" s="1074"/>
      <c r="B21" s="1094"/>
      <c r="C21" s="1074"/>
      <c r="D21" s="1074"/>
      <c r="E21" s="1089"/>
      <c r="F21" s="1090"/>
      <c r="G21" s="645" t="s">
        <v>1922</v>
      </c>
      <c r="H21" s="646">
        <v>5</v>
      </c>
      <c r="I21" s="647">
        <v>200</v>
      </c>
      <c r="J21" s="648">
        <f t="shared" si="2"/>
        <v>1000</v>
      </c>
      <c r="K21" s="1097"/>
    </row>
    <row r="22" spans="1:12" s="649" customFormat="1" ht="20.100000000000001" customHeight="1">
      <c r="A22" s="1074"/>
      <c r="B22" s="1094"/>
      <c r="C22" s="1074"/>
      <c r="D22" s="1074"/>
      <c r="E22" s="1091"/>
      <c r="F22" s="1092"/>
      <c r="G22" s="645" t="s">
        <v>1922</v>
      </c>
      <c r="H22" s="646">
        <v>1</v>
      </c>
      <c r="I22" s="647">
        <v>450</v>
      </c>
      <c r="J22" s="648">
        <f t="shared" si="2"/>
        <v>450</v>
      </c>
      <c r="K22" s="1097"/>
    </row>
    <row r="23" spans="1:12" s="649" customFormat="1" ht="20.100000000000001" customHeight="1">
      <c r="A23" s="1074"/>
      <c r="B23" s="1094"/>
      <c r="C23" s="1074"/>
      <c r="D23" s="1074"/>
      <c r="E23" s="1074" t="s">
        <v>1923</v>
      </c>
      <c r="F23" s="1074"/>
      <c r="G23" s="645" t="s">
        <v>1372</v>
      </c>
      <c r="H23" s="646">
        <v>81</v>
      </c>
      <c r="I23" s="647">
        <v>600</v>
      </c>
      <c r="J23" s="648">
        <f t="shared" si="0"/>
        <v>48600</v>
      </c>
      <c r="K23" s="1097"/>
    </row>
    <row r="24" spans="1:12" s="649" customFormat="1" ht="20.100000000000001" customHeight="1">
      <c r="A24" s="1074"/>
      <c r="B24" s="1094"/>
      <c r="C24" s="1074"/>
      <c r="D24" s="1074"/>
      <c r="E24" s="1074" t="s">
        <v>1924</v>
      </c>
      <c r="F24" s="1074"/>
      <c r="G24" s="645" t="s">
        <v>1372</v>
      </c>
      <c r="H24" s="646">
        <v>0</v>
      </c>
      <c r="I24" s="647">
        <v>0</v>
      </c>
      <c r="J24" s="648">
        <f t="shared" si="0"/>
        <v>0</v>
      </c>
      <c r="K24" s="1097"/>
    </row>
    <row r="25" spans="1:12" s="649" customFormat="1" ht="20.100000000000001" customHeight="1">
      <c r="A25" s="1074"/>
      <c r="B25" s="1094"/>
      <c r="C25" s="1073" t="s">
        <v>24</v>
      </c>
      <c r="D25" s="1073"/>
      <c r="E25" s="1073"/>
      <c r="F25" s="1073"/>
      <c r="G25" s="651"/>
      <c r="H25" s="652"/>
      <c r="I25" s="651"/>
      <c r="J25" s="653">
        <f>SUM(J4:J24)</f>
        <v>2401619.5</v>
      </c>
      <c r="K25" s="1097"/>
      <c r="L25" s="654"/>
    </row>
    <row r="26" spans="1:12" s="649" customFormat="1" ht="20.100000000000001" customHeight="1">
      <c r="A26" s="1074"/>
      <c r="B26" s="1094"/>
      <c r="C26" s="1093" t="s">
        <v>1925</v>
      </c>
      <c r="D26" s="1093" t="s">
        <v>1926</v>
      </c>
      <c r="E26" s="1074" t="s">
        <v>1927</v>
      </c>
      <c r="F26" s="1074"/>
      <c r="G26" s="645" t="s">
        <v>1372</v>
      </c>
      <c r="H26" s="646">
        <v>60</v>
      </c>
      <c r="I26" s="647">
        <v>50</v>
      </c>
      <c r="J26" s="648">
        <f t="shared" si="0"/>
        <v>3000</v>
      </c>
      <c r="K26" s="1097"/>
    </row>
    <row r="27" spans="1:12" s="649" customFormat="1" ht="20.100000000000001" customHeight="1">
      <c r="A27" s="1074"/>
      <c r="B27" s="1094"/>
      <c r="C27" s="1094"/>
      <c r="D27" s="1094"/>
      <c r="E27" s="1074" t="s">
        <v>1928</v>
      </c>
      <c r="F27" s="1074"/>
      <c r="G27" s="645" t="s">
        <v>1372</v>
      </c>
      <c r="H27" s="646">
        <v>30</v>
      </c>
      <c r="I27" s="647">
        <v>45</v>
      </c>
      <c r="J27" s="648">
        <f t="shared" si="0"/>
        <v>1350</v>
      </c>
      <c r="K27" s="1097"/>
    </row>
    <row r="28" spans="1:12" s="649" customFormat="1" ht="20.100000000000001" customHeight="1">
      <c r="A28" s="1074"/>
      <c r="B28" s="1094"/>
      <c r="C28" s="1094"/>
      <c r="D28" s="1094"/>
      <c r="E28" s="1074" t="s">
        <v>1929</v>
      </c>
      <c r="F28" s="1074"/>
      <c r="G28" s="645" t="s">
        <v>1372</v>
      </c>
      <c r="H28" s="646">
        <v>20</v>
      </c>
      <c r="I28" s="647">
        <v>45</v>
      </c>
      <c r="J28" s="648">
        <f t="shared" si="0"/>
        <v>900</v>
      </c>
      <c r="K28" s="1097"/>
    </row>
    <row r="29" spans="1:12" s="649" customFormat="1" ht="20.100000000000001" customHeight="1">
      <c r="A29" s="1074"/>
      <c r="B29" s="1094"/>
      <c r="C29" s="1094"/>
      <c r="D29" s="1094"/>
      <c r="E29" s="1074" t="s">
        <v>1930</v>
      </c>
      <c r="F29" s="1074"/>
      <c r="G29" s="645" t="s">
        <v>1372</v>
      </c>
      <c r="H29" s="646">
        <v>6</v>
      </c>
      <c r="I29" s="647">
        <v>180</v>
      </c>
      <c r="J29" s="648">
        <f>H29*I29</f>
        <v>1080</v>
      </c>
      <c r="K29" s="1097"/>
    </row>
    <row r="30" spans="1:12" s="649" customFormat="1" ht="20.100000000000001" customHeight="1">
      <c r="A30" s="1074"/>
      <c r="B30" s="1094"/>
      <c r="C30" s="1094"/>
      <c r="D30" s="1094"/>
      <c r="E30" s="1074" t="s">
        <v>1931</v>
      </c>
      <c r="F30" s="1074"/>
      <c r="G30" s="645" t="s">
        <v>1372</v>
      </c>
      <c r="H30" s="646">
        <v>10</v>
      </c>
      <c r="I30" s="647">
        <v>200</v>
      </c>
      <c r="J30" s="648">
        <f t="shared" si="0"/>
        <v>2000</v>
      </c>
      <c r="K30" s="1097"/>
    </row>
    <row r="31" spans="1:12" s="649" customFormat="1" ht="20.100000000000001" customHeight="1">
      <c r="A31" s="1074"/>
      <c r="B31" s="1094"/>
      <c r="C31" s="1094"/>
      <c r="D31" s="1094"/>
      <c r="E31" s="1074" t="s">
        <v>1932</v>
      </c>
      <c r="F31" s="650" t="s">
        <v>1933</v>
      </c>
      <c r="G31" s="645" t="s">
        <v>1372</v>
      </c>
      <c r="H31" s="646">
        <v>0</v>
      </c>
      <c r="I31" s="647">
        <v>0</v>
      </c>
      <c r="J31" s="648">
        <f t="shared" si="0"/>
        <v>0</v>
      </c>
      <c r="K31" s="1097"/>
    </row>
    <row r="32" spans="1:12" s="649" customFormat="1" ht="20.100000000000001" customHeight="1">
      <c r="A32" s="1074"/>
      <c r="B32" s="1094"/>
      <c r="C32" s="1094"/>
      <c r="D32" s="1094"/>
      <c r="E32" s="1074"/>
      <c r="F32" s="650" t="s">
        <v>1934</v>
      </c>
      <c r="G32" s="645" t="s">
        <v>1372</v>
      </c>
      <c r="H32" s="646">
        <v>0</v>
      </c>
      <c r="I32" s="647">
        <v>0</v>
      </c>
      <c r="J32" s="648">
        <f t="shared" si="0"/>
        <v>0</v>
      </c>
      <c r="K32" s="1097"/>
    </row>
    <row r="33" spans="1:12" s="649" customFormat="1" ht="20.100000000000001" customHeight="1">
      <c r="A33" s="1074"/>
      <c r="B33" s="1094"/>
      <c r="C33" s="1094"/>
      <c r="D33" s="1094"/>
      <c r="E33" s="1087" t="s">
        <v>1935</v>
      </c>
      <c r="F33" s="1088"/>
      <c r="G33" s="645" t="s">
        <v>1372</v>
      </c>
      <c r="H33" s="646">
        <v>20</v>
      </c>
      <c r="I33" s="647">
        <v>260</v>
      </c>
      <c r="J33" s="648">
        <f t="shared" si="0"/>
        <v>5200</v>
      </c>
      <c r="K33" s="1097"/>
    </row>
    <row r="34" spans="1:12" s="649" customFormat="1" ht="20.100000000000001" customHeight="1">
      <c r="A34" s="1074"/>
      <c r="B34" s="1094"/>
      <c r="C34" s="1094"/>
      <c r="D34" s="1095"/>
      <c r="E34" s="1091"/>
      <c r="F34" s="1092"/>
      <c r="G34" s="645" t="s">
        <v>1376</v>
      </c>
      <c r="H34" s="646">
        <v>1</v>
      </c>
      <c r="I34" s="647">
        <v>800</v>
      </c>
      <c r="J34" s="648">
        <f t="shared" si="0"/>
        <v>800</v>
      </c>
      <c r="K34" s="1097"/>
    </row>
    <row r="35" spans="1:12" s="649" customFormat="1" ht="20.100000000000001" customHeight="1">
      <c r="A35" s="1074"/>
      <c r="B35" s="1094"/>
      <c r="C35" s="1094"/>
      <c r="D35" s="1093" t="s">
        <v>1936</v>
      </c>
      <c r="E35" s="1074" t="s">
        <v>1937</v>
      </c>
      <c r="F35" s="1074"/>
      <c r="G35" s="645" t="s">
        <v>1372</v>
      </c>
      <c r="H35" s="646">
        <v>11</v>
      </c>
      <c r="I35" s="647">
        <v>600</v>
      </c>
      <c r="J35" s="648">
        <f>H35*I35</f>
        <v>6600</v>
      </c>
      <c r="K35" s="1097"/>
    </row>
    <row r="36" spans="1:12" s="649" customFormat="1" ht="20.100000000000001" customHeight="1">
      <c r="A36" s="1074"/>
      <c r="B36" s="1094"/>
      <c r="C36" s="1094"/>
      <c r="D36" s="1094"/>
      <c r="E36" s="1074" t="s">
        <v>1928</v>
      </c>
      <c r="F36" s="1074"/>
      <c r="G36" s="645" t="s">
        <v>1372</v>
      </c>
      <c r="H36" s="646">
        <v>40</v>
      </c>
      <c r="I36" s="647">
        <v>45</v>
      </c>
      <c r="J36" s="648">
        <f>H36*I36</f>
        <v>1800</v>
      </c>
      <c r="K36" s="1097"/>
    </row>
    <row r="37" spans="1:12" s="649" customFormat="1" ht="20.100000000000001" customHeight="1">
      <c r="A37" s="1074"/>
      <c r="B37" s="1094"/>
      <c r="C37" s="1094"/>
      <c r="D37" s="1094"/>
      <c r="E37" s="1074" t="s">
        <v>1929</v>
      </c>
      <c r="F37" s="1074"/>
      <c r="G37" s="645" t="s">
        <v>1372</v>
      </c>
      <c r="H37" s="646">
        <v>20</v>
      </c>
      <c r="I37" s="647">
        <v>45</v>
      </c>
      <c r="J37" s="648">
        <f>H37*I37</f>
        <v>900</v>
      </c>
      <c r="K37" s="1097"/>
    </row>
    <row r="38" spans="1:12" s="649" customFormat="1" ht="20.100000000000001" customHeight="1">
      <c r="A38" s="1074"/>
      <c r="B38" s="1094"/>
      <c r="C38" s="1095"/>
      <c r="D38" s="1095"/>
      <c r="E38" s="1074" t="s">
        <v>1938</v>
      </c>
      <c r="F38" s="1074"/>
      <c r="G38" s="645" t="s">
        <v>1372</v>
      </c>
      <c r="H38" s="646">
        <v>200</v>
      </c>
      <c r="I38" s="647">
        <f>I30</f>
        <v>200</v>
      </c>
      <c r="J38" s="648">
        <f>H38*I38</f>
        <v>40000</v>
      </c>
      <c r="K38" s="1097"/>
    </row>
    <row r="39" spans="1:12" s="649" customFormat="1" ht="20.100000000000001" customHeight="1">
      <c r="A39" s="1074"/>
      <c r="B39" s="1094"/>
      <c r="C39" s="1073" t="s">
        <v>24</v>
      </c>
      <c r="D39" s="1073"/>
      <c r="E39" s="1073"/>
      <c r="F39" s="1073"/>
      <c r="G39" s="651"/>
      <c r="H39" s="652"/>
      <c r="I39" s="651"/>
      <c r="J39" s="653">
        <f>SUM(J26:J38)</f>
        <v>63630</v>
      </c>
      <c r="K39" s="1097"/>
      <c r="L39" s="654"/>
    </row>
    <row r="40" spans="1:12" s="649" customFormat="1" ht="20.100000000000001" customHeight="1">
      <c r="A40" s="1074"/>
      <c r="B40" s="1094"/>
      <c r="C40" s="1087" t="s">
        <v>1455</v>
      </c>
      <c r="D40" s="1088"/>
      <c r="E40" s="1074" t="s">
        <v>1939</v>
      </c>
      <c r="F40" s="650" t="s">
        <v>1940</v>
      </c>
      <c r="G40" s="645" t="s">
        <v>1372</v>
      </c>
      <c r="H40" s="646">
        <v>45</v>
      </c>
      <c r="I40" s="647">
        <v>800</v>
      </c>
      <c r="J40" s="648">
        <f t="shared" si="0"/>
        <v>36000</v>
      </c>
      <c r="K40" s="1097"/>
    </row>
    <row r="41" spans="1:12" s="649" customFormat="1" ht="20.100000000000001" customHeight="1">
      <c r="A41" s="1074"/>
      <c r="B41" s="1094"/>
      <c r="C41" s="1089"/>
      <c r="D41" s="1090"/>
      <c r="E41" s="1074"/>
      <c r="F41" s="650" t="s">
        <v>1941</v>
      </c>
      <c r="G41" s="645" t="s">
        <v>1372</v>
      </c>
      <c r="H41" s="646">
        <v>80</v>
      </c>
      <c r="I41" s="647">
        <v>200</v>
      </c>
      <c r="J41" s="648">
        <f t="shared" si="0"/>
        <v>16000</v>
      </c>
      <c r="K41" s="1097"/>
    </row>
    <row r="42" spans="1:12" s="649" customFormat="1" ht="20.100000000000001" customHeight="1">
      <c r="A42" s="1074"/>
      <c r="B42" s="1094"/>
      <c r="C42" s="1089"/>
      <c r="D42" s="1090"/>
      <c r="E42" s="1074" t="s">
        <v>1942</v>
      </c>
      <c r="F42" s="650" t="s">
        <v>1943</v>
      </c>
      <c r="G42" s="1081" t="s">
        <v>1376</v>
      </c>
      <c r="H42" s="1084">
        <v>1</v>
      </c>
      <c r="I42" s="1075">
        <v>30000</v>
      </c>
      <c r="J42" s="1078">
        <f t="shared" si="0"/>
        <v>30000</v>
      </c>
      <c r="K42" s="1097"/>
    </row>
    <row r="43" spans="1:12" s="649" customFormat="1" ht="20.100000000000001" customHeight="1">
      <c r="A43" s="1074"/>
      <c r="B43" s="1094"/>
      <c r="C43" s="1089"/>
      <c r="D43" s="1090"/>
      <c r="E43" s="1074"/>
      <c r="F43" s="650" t="s">
        <v>1944</v>
      </c>
      <c r="G43" s="1082"/>
      <c r="H43" s="1085"/>
      <c r="I43" s="1076"/>
      <c r="J43" s="1079"/>
      <c r="K43" s="1097"/>
    </row>
    <row r="44" spans="1:12" s="649" customFormat="1" ht="20.100000000000001" customHeight="1">
      <c r="A44" s="1074"/>
      <c r="B44" s="1094"/>
      <c r="C44" s="1089"/>
      <c r="D44" s="1090"/>
      <c r="E44" s="1074"/>
      <c r="F44" s="650" t="s">
        <v>1945</v>
      </c>
      <c r="G44" s="1083"/>
      <c r="H44" s="1086"/>
      <c r="I44" s="1077"/>
      <c r="J44" s="1080"/>
      <c r="K44" s="1097"/>
    </row>
    <row r="45" spans="1:12" s="649" customFormat="1" ht="20.100000000000001" customHeight="1">
      <c r="A45" s="1074"/>
      <c r="B45" s="1094"/>
      <c r="C45" s="1089"/>
      <c r="D45" s="1090"/>
      <c r="E45" s="1074" t="s">
        <v>1946</v>
      </c>
      <c r="F45" s="1074"/>
      <c r="G45" s="645" t="s">
        <v>1372</v>
      </c>
      <c r="H45" s="646">
        <v>2</v>
      </c>
      <c r="I45" s="647">
        <v>650</v>
      </c>
      <c r="J45" s="648">
        <f t="shared" si="0"/>
        <v>1300</v>
      </c>
      <c r="K45" s="1097"/>
    </row>
    <row r="46" spans="1:12" s="649" customFormat="1" ht="20.100000000000001" customHeight="1">
      <c r="A46" s="1074"/>
      <c r="B46" s="1094"/>
      <c r="C46" s="1089"/>
      <c r="D46" s="1090"/>
      <c r="E46" s="1074" t="s">
        <v>1947</v>
      </c>
      <c r="F46" s="1074"/>
      <c r="G46" s="645" t="s">
        <v>1101</v>
      </c>
      <c r="H46" s="646">
        <v>4</v>
      </c>
      <c r="I46" s="647">
        <v>100</v>
      </c>
      <c r="J46" s="648">
        <f t="shared" si="0"/>
        <v>400</v>
      </c>
      <c r="K46" s="1097"/>
    </row>
    <row r="47" spans="1:12" s="649" customFormat="1" ht="20.100000000000001" customHeight="1">
      <c r="A47" s="1074"/>
      <c r="B47" s="1094"/>
      <c r="C47" s="1089"/>
      <c r="D47" s="1090"/>
      <c r="E47" s="1074" t="s">
        <v>1948</v>
      </c>
      <c r="F47" s="650" t="s">
        <v>1949</v>
      </c>
      <c r="G47" s="645" t="s">
        <v>1372</v>
      </c>
      <c r="H47" s="646">
        <v>2</v>
      </c>
      <c r="I47" s="647">
        <v>500</v>
      </c>
      <c r="J47" s="648">
        <f t="shared" si="0"/>
        <v>1000</v>
      </c>
      <c r="K47" s="1097"/>
    </row>
    <row r="48" spans="1:12" s="649" customFormat="1" ht="20.100000000000001" customHeight="1">
      <c r="A48" s="1074"/>
      <c r="B48" s="1094"/>
      <c r="C48" s="1089"/>
      <c r="D48" s="1090"/>
      <c r="E48" s="1074"/>
      <c r="F48" s="650" t="s">
        <v>1950</v>
      </c>
      <c r="G48" s="645" t="s">
        <v>1382</v>
      </c>
      <c r="H48" s="646">
        <v>1</v>
      </c>
      <c r="I48" s="647">
        <v>1600</v>
      </c>
      <c r="J48" s="648">
        <f t="shared" si="0"/>
        <v>1600</v>
      </c>
      <c r="K48" s="1097"/>
    </row>
    <row r="49" spans="1:12" s="649" customFormat="1" ht="20.100000000000001" customHeight="1">
      <c r="A49" s="1074"/>
      <c r="B49" s="1094"/>
      <c r="C49" s="1089"/>
      <c r="D49" s="1090"/>
      <c r="E49" s="1074" t="s">
        <v>1951</v>
      </c>
      <c r="F49" s="1074"/>
      <c r="G49" s="645" t="s">
        <v>1372</v>
      </c>
      <c r="H49" s="646">
        <v>380</v>
      </c>
      <c r="I49" s="647">
        <v>200</v>
      </c>
      <c r="J49" s="648">
        <f t="shared" si="0"/>
        <v>76000</v>
      </c>
      <c r="K49" s="1097"/>
    </row>
    <row r="50" spans="1:12" s="649" customFormat="1" ht="20.100000000000001" customHeight="1">
      <c r="A50" s="1074"/>
      <c r="B50" s="1094"/>
      <c r="C50" s="1089"/>
      <c r="D50" s="1090"/>
      <c r="E50" s="1074" t="s">
        <v>1952</v>
      </c>
      <c r="F50" s="1074"/>
      <c r="G50" s="645" t="s">
        <v>1372</v>
      </c>
      <c r="H50" s="1084">
        <v>220</v>
      </c>
      <c r="I50" s="1075">
        <v>200</v>
      </c>
      <c r="J50" s="1078">
        <f t="shared" si="0"/>
        <v>44000</v>
      </c>
      <c r="K50" s="1097"/>
    </row>
    <row r="51" spans="1:12" s="649" customFormat="1" ht="20.100000000000001" customHeight="1">
      <c r="A51" s="1074"/>
      <c r="B51" s="1094"/>
      <c r="C51" s="1089"/>
      <c r="D51" s="1090"/>
      <c r="E51" s="1074" t="s">
        <v>1953</v>
      </c>
      <c r="F51" s="1074"/>
      <c r="G51" s="645" t="s">
        <v>1372</v>
      </c>
      <c r="H51" s="1086"/>
      <c r="I51" s="1077"/>
      <c r="J51" s="1080"/>
      <c r="K51" s="1097"/>
    </row>
    <row r="52" spans="1:12" s="649" customFormat="1" ht="20.100000000000001" customHeight="1">
      <c r="A52" s="1074"/>
      <c r="B52" s="1094"/>
      <c r="C52" s="1089"/>
      <c r="D52" s="1090"/>
      <c r="E52" s="1087" t="s">
        <v>1954</v>
      </c>
      <c r="F52" s="1088"/>
      <c r="G52" s="645" t="s">
        <v>1372</v>
      </c>
      <c r="H52" s="646">
        <v>270</v>
      </c>
      <c r="I52" s="647">
        <v>230</v>
      </c>
      <c r="J52" s="648">
        <f t="shared" si="0"/>
        <v>62100</v>
      </c>
      <c r="K52" s="1097"/>
    </row>
    <row r="53" spans="1:12" s="649" customFormat="1" ht="20.100000000000001" customHeight="1">
      <c r="A53" s="1074"/>
      <c r="B53" s="1094"/>
      <c r="C53" s="1091"/>
      <c r="D53" s="1092"/>
      <c r="E53" s="1091"/>
      <c r="F53" s="1092"/>
      <c r="G53" s="645" t="s">
        <v>1372</v>
      </c>
      <c r="H53" s="646">
        <v>250</v>
      </c>
      <c r="I53" s="647">
        <v>45</v>
      </c>
      <c r="J53" s="648">
        <f t="shared" si="0"/>
        <v>11250</v>
      </c>
      <c r="K53" s="1097"/>
    </row>
    <row r="54" spans="1:12" s="649" customFormat="1" ht="20.100000000000001" customHeight="1">
      <c r="A54" s="1074"/>
      <c r="B54" s="1094"/>
      <c r="C54" s="1073" t="s">
        <v>24</v>
      </c>
      <c r="D54" s="1073"/>
      <c r="E54" s="1073"/>
      <c r="F54" s="1073"/>
      <c r="G54" s="651"/>
      <c r="H54" s="652"/>
      <c r="I54" s="651"/>
      <c r="J54" s="653">
        <f>SUM(J40:J53)</f>
        <v>279650</v>
      </c>
      <c r="K54" s="1097"/>
      <c r="L54" s="654"/>
    </row>
    <row r="55" spans="1:12" s="649" customFormat="1" ht="20.100000000000001" customHeight="1">
      <c r="A55" s="1074"/>
      <c r="B55" s="1094"/>
      <c r="C55" s="1074" t="s">
        <v>1565</v>
      </c>
      <c r="D55" s="1074"/>
      <c r="E55" s="1074" t="s">
        <v>1955</v>
      </c>
      <c r="F55" s="650" t="s">
        <v>1956</v>
      </c>
      <c r="G55" s="645" t="s">
        <v>1372</v>
      </c>
      <c r="H55" s="646">
        <v>20</v>
      </c>
      <c r="I55" s="647">
        <v>45</v>
      </c>
      <c r="J55" s="648">
        <f t="shared" si="0"/>
        <v>900</v>
      </c>
      <c r="K55" s="1097"/>
    </row>
    <row r="56" spans="1:12" s="649" customFormat="1" ht="20.100000000000001" customHeight="1">
      <c r="A56" s="1074"/>
      <c r="B56" s="1094"/>
      <c r="C56" s="1074"/>
      <c r="D56" s="1074"/>
      <c r="E56" s="1074"/>
      <c r="F56" s="650" t="s">
        <v>1957</v>
      </c>
      <c r="G56" s="645" t="s">
        <v>1372</v>
      </c>
      <c r="H56" s="646">
        <v>20</v>
      </c>
      <c r="I56" s="647">
        <v>45</v>
      </c>
      <c r="J56" s="648">
        <f t="shared" si="0"/>
        <v>900</v>
      </c>
      <c r="K56" s="1097"/>
    </row>
    <row r="57" spans="1:12" s="649" customFormat="1" ht="20.100000000000001" customHeight="1">
      <c r="A57" s="1074"/>
      <c r="B57" s="1094"/>
      <c r="C57" s="1074"/>
      <c r="D57" s="1074"/>
      <c r="E57" s="1074"/>
      <c r="F57" s="650" t="s">
        <v>1958</v>
      </c>
      <c r="G57" s="645" t="s">
        <v>1372</v>
      </c>
      <c r="H57" s="646">
        <v>10</v>
      </c>
      <c r="I57" s="647">
        <v>280</v>
      </c>
      <c r="J57" s="648">
        <f t="shared" si="0"/>
        <v>2800</v>
      </c>
      <c r="K57" s="1097"/>
    </row>
    <row r="58" spans="1:12" s="649" customFormat="1" ht="20.100000000000001" customHeight="1">
      <c r="A58" s="1074"/>
      <c r="B58" s="1094"/>
      <c r="C58" s="1074"/>
      <c r="D58" s="1074"/>
      <c r="E58" s="1074"/>
      <c r="F58" s="650" t="s">
        <v>1959</v>
      </c>
      <c r="G58" s="645" t="s">
        <v>1372</v>
      </c>
      <c r="H58" s="646">
        <v>10</v>
      </c>
      <c r="I58" s="647">
        <v>260</v>
      </c>
      <c r="J58" s="648">
        <f t="shared" si="0"/>
        <v>2600</v>
      </c>
      <c r="K58" s="1097"/>
    </row>
    <row r="59" spans="1:12" s="649" customFormat="1" ht="20.100000000000001" customHeight="1">
      <c r="A59" s="1074"/>
      <c r="B59" s="1094"/>
      <c r="C59" s="1074"/>
      <c r="D59" s="1074"/>
      <c r="E59" s="1074"/>
      <c r="F59" s="650" t="s">
        <v>1960</v>
      </c>
      <c r="G59" s="645" t="s">
        <v>1441</v>
      </c>
      <c r="H59" s="646">
        <v>3</v>
      </c>
      <c r="I59" s="647">
        <v>1200</v>
      </c>
      <c r="J59" s="648">
        <f t="shared" si="0"/>
        <v>3600</v>
      </c>
      <c r="K59" s="1097"/>
    </row>
    <row r="60" spans="1:12" s="649" customFormat="1" ht="20.100000000000001" customHeight="1">
      <c r="A60" s="1074"/>
      <c r="B60" s="1094"/>
      <c r="C60" s="1074"/>
      <c r="D60" s="1074"/>
      <c r="E60" s="1074"/>
      <c r="F60" s="650" t="s">
        <v>1961</v>
      </c>
      <c r="G60" s="645" t="s">
        <v>1441</v>
      </c>
      <c r="H60" s="646">
        <v>0</v>
      </c>
      <c r="I60" s="647">
        <v>150</v>
      </c>
      <c r="J60" s="648">
        <f t="shared" si="0"/>
        <v>0</v>
      </c>
      <c r="K60" s="1097"/>
    </row>
    <row r="61" spans="1:12" s="649" customFormat="1" ht="20.100000000000001" customHeight="1">
      <c r="A61" s="1074"/>
      <c r="B61" s="1094"/>
      <c r="C61" s="1074"/>
      <c r="D61" s="1074"/>
      <c r="E61" s="1074"/>
      <c r="F61" s="650" t="s">
        <v>1962</v>
      </c>
      <c r="G61" s="645" t="s">
        <v>1441</v>
      </c>
      <c r="H61" s="646">
        <v>0</v>
      </c>
      <c r="I61" s="647">
        <v>55</v>
      </c>
      <c r="J61" s="648">
        <f t="shared" si="0"/>
        <v>0</v>
      </c>
      <c r="K61" s="1097"/>
    </row>
    <row r="62" spans="1:12" s="649" customFormat="1" ht="20.100000000000001" customHeight="1">
      <c r="A62" s="1074"/>
      <c r="B62" s="1094"/>
      <c r="C62" s="1074"/>
      <c r="D62" s="1074"/>
      <c r="E62" s="1074" t="s">
        <v>1963</v>
      </c>
      <c r="F62" s="650" t="s">
        <v>1964</v>
      </c>
      <c r="G62" s="645" t="s">
        <v>1372</v>
      </c>
      <c r="H62" s="646">
        <v>40</v>
      </c>
      <c r="I62" s="647">
        <v>200</v>
      </c>
      <c r="J62" s="648">
        <f t="shared" si="0"/>
        <v>8000</v>
      </c>
      <c r="K62" s="1097"/>
    </row>
    <row r="63" spans="1:12" s="649" customFormat="1" ht="20.100000000000001" customHeight="1">
      <c r="A63" s="1074"/>
      <c r="B63" s="1094"/>
      <c r="C63" s="1074"/>
      <c r="D63" s="1074"/>
      <c r="E63" s="1074"/>
      <c r="F63" s="650" t="s">
        <v>1958</v>
      </c>
      <c r="G63" s="645" t="s">
        <v>1372</v>
      </c>
      <c r="H63" s="646">
        <v>20</v>
      </c>
      <c r="I63" s="647">
        <v>280</v>
      </c>
      <c r="J63" s="648">
        <f t="shared" si="0"/>
        <v>5600</v>
      </c>
      <c r="K63" s="1097"/>
    </row>
    <row r="64" spans="1:12" s="649" customFormat="1" ht="20.100000000000001" customHeight="1">
      <c r="A64" s="1074"/>
      <c r="B64" s="1094"/>
      <c r="C64" s="1074"/>
      <c r="D64" s="1074"/>
      <c r="E64" s="1074"/>
      <c r="F64" s="650" t="s">
        <v>1959</v>
      </c>
      <c r="G64" s="645" t="s">
        <v>1372</v>
      </c>
      <c r="H64" s="646">
        <v>10</v>
      </c>
      <c r="I64" s="647">
        <v>260</v>
      </c>
      <c r="J64" s="648">
        <f t="shared" si="0"/>
        <v>2600</v>
      </c>
      <c r="K64" s="1097"/>
    </row>
    <row r="65" spans="1:11" s="649" customFormat="1" ht="20.100000000000001" customHeight="1">
      <c r="A65" s="1074"/>
      <c r="B65" s="1094"/>
      <c r="C65" s="1074"/>
      <c r="D65" s="1074"/>
      <c r="E65" s="1074"/>
      <c r="F65" s="645" t="s">
        <v>1965</v>
      </c>
      <c r="G65" s="645" t="s">
        <v>1701</v>
      </c>
      <c r="H65" s="646">
        <v>10</v>
      </c>
      <c r="I65" s="647">
        <v>120</v>
      </c>
      <c r="J65" s="648">
        <f t="shared" si="0"/>
        <v>1200</v>
      </c>
      <c r="K65" s="1097"/>
    </row>
    <row r="66" spans="1:11" s="649" customFormat="1" ht="20.100000000000001" customHeight="1">
      <c r="A66" s="1074"/>
      <c r="B66" s="1094"/>
      <c r="C66" s="1074"/>
      <c r="D66" s="1074"/>
      <c r="E66" s="1074"/>
      <c r="F66" s="645" t="s">
        <v>1966</v>
      </c>
      <c r="G66" s="645" t="s">
        <v>1441</v>
      </c>
      <c r="H66" s="646">
        <v>40</v>
      </c>
      <c r="I66" s="647">
        <v>100</v>
      </c>
      <c r="J66" s="648">
        <f t="shared" si="0"/>
        <v>4000</v>
      </c>
      <c r="K66" s="1097"/>
    </row>
    <row r="67" spans="1:11" s="649" customFormat="1" ht="20.100000000000001" customHeight="1">
      <c r="A67" s="1074"/>
      <c r="B67" s="1094"/>
      <c r="C67" s="1074"/>
      <c r="D67" s="1074"/>
      <c r="E67" s="1074" t="s">
        <v>1967</v>
      </c>
      <c r="F67" s="645" t="s">
        <v>1968</v>
      </c>
      <c r="G67" s="645" t="s">
        <v>1372</v>
      </c>
      <c r="H67" s="646">
        <v>0</v>
      </c>
      <c r="I67" s="647">
        <v>50</v>
      </c>
      <c r="J67" s="648">
        <f t="shared" si="0"/>
        <v>0</v>
      </c>
      <c r="K67" s="1097"/>
    </row>
    <row r="68" spans="1:11" s="649" customFormat="1" ht="20.100000000000001" customHeight="1">
      <c r="A68" s="1074"/>
      <c r="B68" s="1094"/>
      <c r="C68" s="1074"/>
      <c r="D68" s="1074"/>
      <c r="E68" s="1074"/>
      <c r="F68" s="645" t="s">
        <v>1969</v>
      </c>
      <c r="G68" s="645" t="s">
        <v>1372</v>
      </c>
      <c r="H68" s="646">
        <v>0</v>
      </c>
      <c r="I68" s="647">
        <v>150</v>
      </c>
      <c r="J68" s="648">
        <f t="shared" si="0"/>
        <v>0</v>
      </c>
      <c r="K68" s="1097"/>
    </row>
    <row r="69" spans="1:11" s="649" customFormat="1" ht="20.100000000000001" customHeight="1">
      <c r="A69" s="1074"/>
      <c r="B69" s="1094"/>
      <c r="C69" s="1074"/>
      <c r="D69" s="1074"/>
      <c r="E69" s="1074"/>
      <c r="F69" s="645" t="s">
        <v>1970</v>
      </c>
      <c r="G69" s="645" t="s">
        <v>1372</v>
      </c>
      <c r="H69" s="646">
        <v>0</v>
      </c>
      <c r="I69" s="647">
        <v>280</v>
      </c>
      <c r="J69" s="648">
        <f t="shared" si="0"/>
        <v>0</v>
      </c>
      <c r="K69" s="1097"/>
    </row>
    <row r="70" spans="1:11" s="649" customFormat="1" ht="20.100000000000001" customHeight="1">
      <c r="A70" s="1074"/>
      <c r="B70" s="1094"/>
      <c r="C70" s="1074"/>
      <c r="D70" s="1074"/>
      <c r="E70" s="1074"/>
      <c r="F70" s="645" t="s">
        <v>1971</v>
      </c>
      <c r="G70" s="645" t="s">
        <v>1372</v>
      </c>
      <c r="H70" s="646">
        <v>0</v>
      </c>
      <c r="I70" s="647">
        <v>200</v>
      </c>
      <c r="J70" s="648">
        <f t="shared" si="0"/>
        <v>0</v>
      </c>
      <c r="K70" s="1097"/>
    </row>
    <row r="71" spans="1:11" s="649" customFormat="1" ht="20.100000000000001" customHeight="1">
      <c r="A71" s="1074"/>
      <c r="B71" s="1094"/>
      <c r="C71" s="1074"/>
      <c r="D71" s="1074"/>
      <c r="E71" s="1074"/>
      <c r="F71" s="645" t="s">
        <v>1972</v>
      </c>
      <c r="G71" s="645" t="s">
        <v>1372</v>
      </c>
      <c r="H71" s="646">
        <v>85</v>
      </c>
      <c r="I71" s="647">
        <v>220</v>
      </c>
      <c r="J71" s="648">
        <f t="shared" si="0"/>
        <v>18700</v>
      </c>
      <c r="K71" s="1097"/>
    </row>
    <row r="72" spans="1:11" s="649" customFormat="1" ht="20.100000000000001" customHeight="1">
      <c r="A72" s="1074"/>
      <c r="B72" s="1094"/>
      <c r="C72" s="1073" t="s">
        <v>24</v>
      </c>
      <c r="D72" s="1073"/>
      <c r="E72" s="1073"/>
      <c r="F72" s="1073"/>
      <c r="G72" s="651"/>
      <c r="H72" s="652"/>
      <c r="I72" s="651"/>
      <c r="J72" s="653">
        <f>SUM(J55:J71)</f>
        <v>50900</v>
      </c>
      <c r="K72" s="1097"/>
    </row>
    <row r="73" spans="1:11" s="649" customFormat="1" ht="20.100000000000001" customHeight="1">
      <c r="A73" s="1074"/>
      <c r="B73" s="1094"/>
      <c r="C73" s="1074" t="s">
        <v>1973</v>
      </c>
      <c r="D73" s="1074"/>
      <c r="E73" s="1074" t="s">
        <v>1974</v>
      </c>
      <c r="F73" s="1074"/>
      <c r="G73" s="645" t="s">
        <v>1388</v>
      </c>
      <c r="H73" s="646">
        <v>61</v>
      </c>
      <c r="I73" s="647">
        <v>100</v>
      </c>
      <c r="J73" s="648">
        <f t="shared" si="0"/>
        <v>6100</v>
      </c>
      <c r="K73" s="1097"/>
    </row>
    <row r="74" spans="1:11" s="649" customFormat="1" ht="20.100000000000001" customHeight="1">
      <c r="A74" s="1074"/>
      <c r="B74" s="1094"/>
      <c r="C74" s="1074"/>
      <c r="D74" s="1074"/>
      <c r="E74" s="1074" t="s">
        <v>1928</v>
      </c>
      <c r="F74" s="1074"/>
      <c r="G74" s="645" t="s">
        <v>1372</v>
      </c>
      <c r="H74" s="646">
        <v>100</v>
      </c>
      <c r="I74" s="650">
        <v>45</v>
      </c>
      <c r="J74" s="648">
        <f t="shared" si="0"/>
        <v>4500</v>
      </c>
      <c r="K74" s="1097"/>
    </row>
    <row r="75" spans="1:11" s="649" customFormat="1" ht="20.100000000000001" customHeight="1">
      <c r="A75" s="1074"/>
      <c r="B75" s="1094"/>
      <c r="C75" s="1074"/>
      <c r="D75" s="1074"/>
      <c r="E75" s="1074" t="s">
        <v>1975</v>
      </c>
      <c r="F75" s="1074"/>
      <c r="G75" s="645" t="s">
        <v>1372</v>
      </c>
      <c r="H75" s="646">
        <v>1350</v>
      </c>
      <c r="I75" s="647">
        <v>400</v>
      </c>
      <c r="J75" s="648">
        <f t="shared" si="0"/>
        <v>540000</v>
      </c>
      <c r="K75" s="1097"/>
    </row>
    <row r="76" spans="1:11" s="649" customFormat="1" ht="20.100000000000001" customHeight="1">
      <c r="A76" s="1074"/>
      <c r="B76" s="1094"/>
      <c r="C76" s="1074"/>
      <c r="D76" s="1074"/>
      <c r="E76" s="1074" t="s">
        <v>1954</v>
      </c>
      <c r="F76" s="1074"/>
      <c r="G76" s="645" t="s">
        <v>1372</v>
      </c>
      <c r="H76" s="646">
        <v>391</v>
      </c>
      <c r="I76" s="647">
        <v>230</v>
      </c>
      <c r="J76" s="648">
        <f t="shared" si="0"/>
        <v>89930</v>
      </c>
      <c r="K76" s="1097"/>
    </row>
    <row r="77" spans="1:11" s="649" customFormat="1" ht="20.100000000000001" customHeight="1">
      <c r="A77" s="1074"/>
      <c r="B77" s="1094"/>
      <c r="C77" s="1073" t="s">
        <v>24</v>
      </c>
      <c r="D77" s="1073"/>
      <c r="E77" s="1073"/>
      <c r="F77" s="1073"/>
      <c r="G77" s="651"/>
      <c r="H77" s="652"/>
      <c r="I77" s="651"/>
      <c r="J77" s="653">
        <f>SUM(J73:J76)</f>
        <v>640530</v>
      </c>
      <c r="K77" s="1097"/>
    </row>
    <row r="78" spans="1:11" s="649" customFormat="1" ht="20.100000000000001" customHeight="1">
      <c r="A78" s="1074"/>
      <c r="B78" s="1094"/>
      <c r="C78" s="1074" t="s">
        <v>1976</v>
      </c>
      <c r="D78" s="1074" t="s">
        <v>1977</v>
      </c>
      <c r="E78" s="1074" t="s">
        <v>1928</v>
      </c>
      <c r="F78" s="1074"/>
      <c r="G78" s="645" t="s">
        <v>1372</v>
      </c>
      <c r="H78" s="646">
        <v>20</v>
      </c>
      <c r="I78" s="647">
        <v>45</v>
      </c>
      <c r="J78" s="648">
        <f t="shared" si="0"/>
        <v>900</v>
      </c>
      <c r="K78" s="1097"/>
    </row>
    <row r="79" spans="1:11" s="649" customFormat="1" ht="20.100000000000001" customHeight="1">
      <c r="A79" s="1074"/>
      <c r="B79" s="1094"/>
      <c r="C79" s="1074"/>
      <c r="D79" s="1074"/>
      <c r="E79" s="1074" t="s">
        <v>1978</v>
      </c>
      <c r="F79" s="1074"/>
      <c r="G79" s="645" t="s">
        <v>1372</v>
      </c>
      <c r="H79" s="646">
        <v>280</v>
      </c>
      <c r="I79" s="647">
        <v>45</v>
      </c>
      <c r="J79" s="648">
        <f>H79*I79</f>
        <v>12600</v>
      </c>
      <c r="K79" s="1097"/>
    </row>
    <row r="80" spans="1:11" s="649" customFormat="1" ht="20.100000000000001" customHeight="1">
      <c r="A80" s="1074"/>
      <c r="B80" s="1094"/>
      <c r="C80" s="1074"/>
      <c r="D80" s="1074"/>
      <c r="E80" s="1074" t="s">
        <v>1979</v>
      </c>
      <c r="F80" s="1074"/>
      <c r="G80" s="645" t="s">
        <v>1372</v>
      </c>
      <c r="H80" s="646">
        <v>80</v>
      </c>
      <c r="I80" s="647">
        <v>300</v>
      </c>
      <c r="J80" s="648">
        <f t="shared" ref="J80:J129" si="3">H80*I80</f>
        <v>24000</v>
      </c>
      <c r="K80" s="1097"/>
    </row>
    <row r="81" spans="1:11" s="649" customFormat="1" ht="20.100000000000001" customHeight="1">
      <c r="A81" s="1074"/>
      <c r="B81" s="1094"/>
      <c r="C81" s="1074"/>
      <c r="D81" s="1074"/>
      <c r="E81" s="1074" t="s">
        <v>1929</v>
      </c>
      <c r="F81" s="1074"/>
      <c r="G81" s="645" t="s">
        <v>1372</v>
      </c>
      <c r="H81" s="646">
        <v>40</v>
      </c>
      <c r="I81" s="647">
        <v>45</v>
      </c>
      <c r="J81" s="648">
        <f t="shared" si="3"/>
        <v>1800</v>
      </c>
      <c r="K81" s="1097"/>
    </row>
    <row r="82" spans="1:11" s="649" customFormat="1" ht="20.100000000000001" customHeight="1">
      <c r="A82" s="1074"/>
      <c r="B82" s="1094"/>
      <c r="C82" s="1074"/>
      <c r="D82" s="1074"/>
      <c r="E82" s="1074" t="s">
        <v>1980</v>
      </c>
      <c r="F82" s="1074"/>
      <c r="G82" s="645" t="s">
        <v>1372</v>
      </c>
      <c r="H82" s="646">
        <v>20</v>
      </c>
      <c r="I82" s="647">
        <v>260</v>
      </c>
      <c r="J82" s="648">
        <f t="shared" si="3"/>
        <v>5200</v>
      </c>
      <c r="K82" s="1097"/>
    </row>
    <row r="83" spans="1:11" s="649" customFormat="1" ht="20.100000000000001" customHeight="1">
      <c r="A83" s="1074"/>
      <c r="B83" s="1094"/>
      <c r="C83" s="1074"/>
      <c r="D83" s="1074"/>
      <c r="E83" s="1074" t="s">
        <v>1981</v>
      </c>
      <c r="F83" s="1074"/>
      <c r="G83" s="645" t="s">
        <v>1441</v>
      </c>
      <c r="H83" s="646">
        <v>132</v>
      </c>
      <c r="I83" s="647">
        <v>50</v>
      </c>
      <c r="J83" s="648">
        <f t="shared" si="3"/>
        <v>6600</v>
      </c>
      <c r="K83" s="1097"/>
    </row>
    <row r="84" spans="1:11" s="649" customFormat="1" ht="20.100000000000001" customHeight="1">
      <c r="A84" s="1074"/>
      <c r="B84" s="1094"/>
      <c r="C84" s="1074"/>
      <c r="D84" s="1074"/>
      <c r="E84" s="1074" t="s">
        <v>1982</v>
      </c>
      <c r="F84" s="1074"/>
      <c r="G84" s="645" t="s">
        <v>1372</v>
      </c>
      <c r="H84" s="646">
        <v>200</v>
      </c>
      <c r="I84" s="647">
        <v>200</v>
      </c>
      <c r="J84" s="648">
        <f t="shared" si="3"/>
        <v>40000</v>
      </c>
      <c r="K84" s="1097"/>
    </row>
    <row r="85" spans="1:11" s="649" customFormat="1" ht="20.100000000000001" customHeight="1">
      <c r="A85" s="1074"/>
      <c r="B85" s="1094"/>
      <c r="C85" s="1074"/>
      <c r="D85" s="1074"/>
      <c r="E85" s="1074" t="s">
        <v>1983</v>
      </c>
      <c r="F85" s="1074"/>
      <c r="G85" s="645" t="s">
        <v>1372</v>
      </c>
      <c r="H85" s="646">
        <v>60</v>
      </c>
      <c r="I85" s="647">
        <v>650</v>
      </c>
      <c r="J85" s="648">
        <f t="shared" si="3"/>
        <v>39000</v>
      </c>
      <c r="K85" s="1097"/>
    </row>
    <row r="86" spans="1:11" s="649" customFormat="1" ht="20.100000000000001" customHeight="1">
      <c r="A86" s="1074"/>
      <c r="B86" s="1094"/>
      <c r="C86" s="1074"/>
      <c r="D86" s="1074"/>
      <c r="E86" s="1074" t="s">
        <v>1984</v>
      </c>
      <c r="F86" s="645" t="s">
        <v>1985</v>
      </c>
      <c r="G86" s="645" t="s">
        <v>1372</v>
      </c>
      <c r="H86" s="646">
        <v>14</v>
      </c>
      <c r="I86" s="647">
        <v>1800</v>
      </c>
      <c r="J86" s="648">
        <f t="shared" si="3"/>
        <v>25200</v>
      </c>
      <c r="K86" s="1097"/>
    </row>
    <row r="87" spans="1:11" s="649" customFormat="1" ht="20.100000000000001" customHeight="1">
      <c r="A87" s="1074"/>
      <c r="B87" s="1094"/>
      <c r="C87" s="1074"/>
      <c r="D87" s="1074"/>
      <c r="E87" s="1074"/>
      <c r="F87" s="645" t="s">
        <v>1986</v>
      </c>
      <c r="G87" s="645" t="s">
        <v>1372</v>
      </c>
      <c r="H87" s="646">
        <v>1</v>
      </c>
      <c r="I87" s="647">
        <v>800</v>
      </c>
      <c r="J87" s="648">
        <f t="shared" si="3"/>
        <v>800</v>
      </c>
      <c r="K87" s="1097"/>
    </row>
    <row r="88" spans="1:11" s="649" customFormat="1" ht="20.100000000000001" customHeight="1">
      <c r="A88" s="1074"/>
      <c r="B88" s="1094"/>
      <c r="C88" s="1074"/>
      <c r="D88" s="1074"/>
      <c r="E88" s="1074"/>
      <c r="F88" s="645" t="s">
        <v>1987</v>
      </c>
      <c r="G88" s="645" t="s">
        <v>1441</v>
      </c>
      <c r="H88" s="646">
        <v>5</v>
      </c>
      <c r="I88" s="647">
        <v>2000</v>
      </c>
      <c r="J88" s="648">
        <f t="shared" si="3"/>
        <v>10000</v>
      </c>
      <c r="K88" s="1097"/>
    </row>
    <row r="89" spans="1:11" s="649" customFormat="1" ht="20.100000000000001" customHeight="1">
      <c r="A89" s="1074"/>
      <c r="B89" s="1094"/>
      <c r="C89" s="1074"/>
      <c r="D89" s="1074"/>
      <c r="E89" s="1074" t="s">
        <v>1988</v>
      </c>
      <c r="F89" s="1074"/>
      <c r="G89" s="645" t="s">
        <v>1372</v>
      </c>
      <c r="H89" s="646">
        <v>35</v>
      </c>
      <c r="I89" s="647">
        <v>600</v>
      </c>
      <c r="J89" s="648">
        <f t="shared" si="3"/>
        <v>21000</v>
      </c>
      <c r="K89" s="1097"/>
    </row>
    <row r="90" spans="1:11" s="649" customFormat="1" ht="20.100000000000001" customHeight="1">
      <c r="A90" s="1074"/>
      <c r="B90" s="1094"/>
      <c r="C90" s="1074"/>
      <c r="D90" s="1074"/>
      <c r="E90" s="1074" t="s">
        <v>1989</v>
      </c>
      <c r="F90" s="1074"/>
      <c r="G90" s="645" t="s">
        <v>1382</v>
      </c>
      <c r="H90" s="646">
        <v>6</v>
      </c>
      <c r="I90" s="647">
        <v>1600</v>
      </c>
      <c r="J90" s="648">
        <f t="shared" si="3"/>
        <v>9600</v>
      </c>
      <c r="K90" s="1097"/>
    </row>
    <row r="91" spans="1:11" s="649" customFormat="1" ht="20.100000000000001" customHeight="1">
      <c r="A91" s="1074"/>
      <c r="B91" s="1094"/>
      <c r="C91" s="1074"/>
      <c r="D91" s="1074"/>
      <c r="E91" s="1074" t="s">
        <v>1990</v>
      </c>
      <c r="F91" s="1074"/>
      <c r="G91" s="645" t="s">
        <v>1701</v>
      </c>
      <c r="H91" s="646">
        <v>0</v>
      </c>
      <c r="I91" s="647">
        <v>0</v>
      </c>
      <c r="J91" s="648">
        <f t="shared" si="3"/>
        <v>0</v>
      </c>
      <c r="K91" s="1097"/>
    </row>
    <row r="92" spans="1:11" s="649" customFormat="1" ht="20.100000000000001" customHeight="1">
      <c r="A92" s="1074"/>
      <c r="B92" s="1094"/>
      <c r="C92" s="1074"/>
      <c r="D92" s="1074" t="s">
        <v>1991</v>
      </c>
      <c r="E92" s="1074" t="s">
        <v>1928</v>
      </c>
      <c r="F92" s="1074"/>
      <c r="G92" s="645" t="s">
        <v>1372</v>
      </c>
      <c r="H92" s="646">
        <v>10</v>
      </c>
      <c r="I92" s="647">
        <v>45</v>
      </c>
      <c r="J92" s="648">
        <f t="shared" si="3"/>
        <v>450</v>
      </c>
      <c r="K92" s="1097"/>
    </row>
    <row r="93" spans="1:11" s="649" customFormat="1" ht="20.100000000000001" customHeight="1">
      <c r="A93" s="1074"/>
      <c r="B93" s="1094"/>
      <c r="C93" s="1074"/>
      <c r="D93" s="1074"/>
      <c r="E93" s="1074" t="s">
        <v>1978</v>
      </c>
      <c r="F93" s="1074"/>
      <c r="G93" s="645" t="s">
        <v>1372</v>
      </c>
      <c r="H93" s="646">
        <v>300</v>
      </c>
      <c r="I93" s="647">
        <v>45</v>
      </c>
      <c r="J93" s="648">
        <f t="shared" si="3"/>
        <v>13500</v>
      </c>
      <c r="K93" s="1097"/>
    </row>
    <row r="94" spans="1:11" s="649" customFormat="1" ht="20.100000000000001" customHeight="1">
      <c r="A94" s="1074"/>
      <c r="B94" s="1094"/>
      <c r="C94" s="1074"/>
      <c r="D94" s="1074"/>
      <c r="E94" s="1074" t="s">
        <v>1979</v>
      </c>
      <c r="F94" s="1074"/>
      <c r="G94" s="645" t="s">
        <v>1372</v>
      </c>
      <c r="H94" s="646">
        <v>90</v>
      </c>
      <c r="I94" s="647">
        <v>300</v>
      </c>
      <c r="J94" s="648">
        <f t="shared" si="3"/>
        <v>27000</v>
      </c>
      <c r="K94" s="1097"/>
    </row>
    <row r="95" spans="1:11" s="649" customFormat="1" ht="20.100000000000001" customHeight="1">
      <c r="A95" s="1074"/>
      <c r="B95" s="1094"/>
      <c r="C95" s="1074"/>
      <c r="D95" s="1074"/>
      <c r="E95" s="1074" t="s">
        <v>1929</v>
      </c>
      <c r="F95" s="1074"/>
      <c r="G95" s="645" t="s">
        <v>1372</v>
      </c>
      <c r="H95" s="646">
        <v>20</v>
      </c>
      <c r="I95" s="647">
        <v>45</v>
      </c>
      <c r="J95" s="648">
        <f t="shared" si="3"/>
        <v>900</v>
      </c>
      <c r="K95" s="1097"/>
    </row>
    <row r="96" spans="1:11" s="649" customFormat="1" ht="20.100000000000001" customHeight="1">
      <c r="A96" s="1074"/>
      <c r="B96" s="1094"/>
      <c r="C96" s="1074"/>
      <c r="D96" s="1074"/>
      <c r="E96" s="1074" t="s">
        <v>1992</v>
      </c>
      <c r="F96" s="1074"/>
      <c r="G96" s="645" t="s">
        <v>1372</v>
      </c>
      <c r="H96" s="646">
        <v>30</v>
      </c>
      <c r="I96" s="647">
        <v>260</v>
      </c>
      <c r="J96" s="648">
        <f t="shared" si="3"/>
        <v>7800</v>
      </c>
      <c r="K96" s="1097"/>
    </row>
    <row r="97" spans="1:11" s="649" customFormat="1" ht="20.100000000000001" customHeight="1">
      <c r="A97" s="1074"/>
      <c r="B97" s="1094"/>
      <c r="C97" s="1074"/>
      <c r="D97" s="1074"/>
      <c r="E97" s="1074" t="s">
        <v>1981</v>
      </c>
      <c r="F97" s="1074"/>
      <c r="G97" s="645" t="s">
        <v>1441</v>
      </c>
      <c r="H97" s="646">
        <v>150</v>
      </c>
      <c r="I97" s="647">
        <v>50</v>
      </c>
      <c r="J97" s="648">
        <f t="shared" si="3"/>
        <v>7500</v>
      </c>
      <c r="K97" s="1097"/>
    </row>
    <row r="98" spans="1:11" s="649" customFormat="1" ht="20.100000000000001" customHeight="1">
      <c r="A98" s="1074"/>
      <c r="B98" s="1094"/>
      <c r="C98" s="1074"/>
      <c r="D98" s="1074"/>
      <c r="E98" s="1074" t="s">
        <v>1982</v>
      </c>
      <c r="F98" s="1074"/>
      <c r="G98" s="645" t="s">
        <v>1372</v>
      </c>
      <c r="H98" s="646">
        <v>230</v>
      </c>
      <c r="I98" s="647">
        <f>I84</f>
        <v>200</v>
      </c>
      <c r="J98" s="648">
        <f t="shared" si="3"/>
        <v>46000</v>
      </c>
      <c r="K98" s="1097"/>
    </row>
    <row r="99" spans="1:11" s="649" customFormat="1" ht="20.100000000000001" customHeight="1">
      <c r="A99" s="1074"/>
      <c r="B99" s="1094"/>
      <c r="C99" s="1074"/>
      <c r="D99" s="1074"/>
      <c r="E99" s="1074" t="s">
        <v>1983</v>
      </c>
      <c r="F99" s="1074"/>
      <c r="G99" s="645" t="s">
        <v>1372</v>
      </c>
      <c r="H99" s="646">
        <v>60</v>
      </c>
      <c r="I99" s="647">
        <f>I85</f>
        <v>650</v>
      </c>
      <c r="J99" s="648">
        <f t="shared" si="3"/>
        <v>39000</v>
      </c>
      <c r="K99" s="1097"/>
    </row>
    <row r="100" spans="1:11" s="649" customFormat="1" ht="20.100000000000001" customHeight="1">
      <c r="A100" s="1074"/>
      <c r="B100" s="1094"/>
      <c r="C100" s="1074"/>
      <c r="D100" s="1074"/>
      <c r="E100" s="1074" t="s">
        <v>1984</v>
      </c>
      <c r="F100" s="645" t="s">
        <v>1985</v>
      </c>
      <c r="G100" s="645" t="s">
        <v>1372</v>
      </c>
      <c r="H100" s="646">
        <v>14</v>
      </c>
      <c r="I100" s="647">
        <v>1800</v>
      </c>
      <c r="J100" s="648">
        <f t="shared" si="3"/>
        <v>25200</v>
      </c>
      <c r="K100" s="1097"/>
    </row>
    <row r="101" spans="1:11" s="649" customFormat="1" ht="20.100000000000001" customHeight="1">
      <c r="A101" s="1074"/>
      <c r="B101" s="1094"/>
      <c r="C101" s="1074"/>
      <c r="D101" s="1074"/>
      <c r="E101" s="1074"/>
      <c r="F101" s="645" t="s">
        <v>1993</v>
      </c>
      <c r="G101" s="645" t="s">
        <v>1441</v>
      </c>
      <c r="H101" s="646">
        <v>1</v>
      </c>
      <c r="I101" s="647">
        <v>800</v>
      </c>
      <c r="J101" s="648">
        <f t="shared" si="3"/>
        <v>800</v>
      </c>
      <c r="K101" s="1097"/>
    </row>
    <row r="102" spans="1:11" s="649" customFormat="1" ht="20.100000000000001" customHeight="1">
      <c r="A102" s="1074"/>
      <c r="B102" s="1094"/>
      <c r="C102" s="1074"/>
      <c r="D102" s="1074"/>
      <c r="E102" s="1074"/>
      <c r="F102" s="645" t="s">
        <v>1987</v>
      </c>
      <c r="G102" s="645" t="s">
        <v>1441</v>
      </c>
      <c r="H102" s="646">
        <v>5</v>
      </c>
      <c r="I102" s="647">
        <v>2000</v>
      </c>
      <c r="J102" s="648">
        <f t="shared" si="3"/>
        <v>10000</v>
      </c>
      <c r="K102" s="1097"/>
    </row>
    <row r="103" spans="1:11" s="649" customFormat="1" ht="20.100000000000001" customHeight="1">
      <c r="A103" s="1074"/>
      <c r="B103" s="1094"/>
      <c r="C103" s="1074"/>
      <c r="D103" s="1074"/>
      <c r="E103" s="1074" t="s">
        <v>1988</v>
      </c>
      <c r="F103" s="1074"/>
      <c r="G103" s="645" t="s">
        <v>1372</v>
      </c>
      <c r="H103" s="646">
        <v>35</v>
      </c>
      <c r="I103" s="647">
        <f>I89</f>
        <v>600</v>
      </c>
      <c r="J103" s="648">
        <f t="shared" si="3"/>
        <v>21000</v>
      </c>
      <c r="K103" s="1097"/>
    </row>
    <row r="104" spans="1:11" s="649" customFormat="1" ht="20.100000000000001" customHeight="1">
      <c r="A104" s="1074"/>
      <c r="B104" s="1094"/>
      <c r="C104" s="1074"/>
      <c r="D104" s="1074"/>
      <c r="E104" s="1074" t="s">
        <v>1989</v>
      </c>
      <c r="F104" s="1074"/>
      <c r="G104" s="645" t="s">
        <v>1382</v>
      </c>
      <c r="H104" s="646">
        <v>8</v>
      </c>
      <c r="I104" s="647">
        <f>I90</f>
        <v>1600</v>
      </c>
      <c r="J104" s="648">
        <f t="shared" si="3"/>
        <v>12800</v>
      </c>
      <c r="K104" s="1097"/>
    </row>
    <row r="105" spans="1:11" s="649" customFormat="1" ht="20.100000000000001" customHeight="1">
      <c r="A105" s="1074"/>
      <c r="B105" s="1094"/>
      <c r="C105" s="1074"/>
      <c r="D105" s="1074"/>
      <c r="E105" s="1074" t="s">
        <v>1994</v>
      </c>
      <c r="F105" s="1074"/>
      <c r="G105" s="645" t="s">
        <v>1701</v>
      </c>
      <c r="H105" s="646">
        <v>55</v>
      </c>
      <c r="I105" s="647">
        <v>350</v>
      </c>
      <c r="J105" s="648">
        <f t="shared" si="3"/>
        <v>19250</v>
      </c>
      <c r="K105" s="1097"/>
    </row>
    <row r="106" spans="1:11" s="649" customFormat="1" ht="20.100000000000001" customHeight="1">
      <c r="A106" s="1074"/>
      <c r="B106" s="1094"/>
      <c r="C106" s="1074"/>
      <c r="D106" s="1074" t="s">
        <v>1995</v>
      </c>
      <c r="E106" s="1074" t="s">
        <v>1928</v>
      </c>
      <c r="F106" s="1074"/>
      <c r="G106" s="645" t="s">
        <v>1372</v>
      </c>
      <c r="H106" s="646">
        <v>15</v>
      </c>
      <c r="I106" s="647">
        <v>45</v>
      </c>
      <c r="J106" s="648">
        <f t="shared" si="3"/>
        <v>675</v>
      </c>
      <c r="K106" s="1097"/>
    </row>
    <row r="107" spans="1:11" s="649" customFormat="1" ht="20.100000000000001" customHeight="1">
      <c r="A107" s="1074"/>
      <c r="B107" s="1094"/>
      <c r="C107" s="1074"/>
      <c r="D107" s="1074"/>
      <c r="E107" s="1074" t="s">
        <v>1929</v>
      </c>
      <c r="F107" s="1074"/>
      <c r="G107" s="645" t="s">
        <v>1372</v>
      </c>
      <c r="H107" s="646">
        <v>20</v>
      </c>
      <c r="I107" s="647">
        <v>45</v>
      </c>
      <c r="J107" s="648">
        <f t="shared" si="3"/>
        <v>900</v>
      </c>
      <c r="K107" s="1097"/>
    </row>
    <row r="108" spans="1:11" s="649" customFormat="1" ht="20.100000000000001" customHeight="1">
      <c r="A108" s="1074"/>
      <c r="B108" s="1094"/>
      <c r="C108" s="1074"/>
      <c r="D108" s="1074"/>
      <c r="E108" s="1074" t="s">
        <v>1996</v>
      </c>
      <c r="F108" s="645" t="s">
        <v>1954</v>
      </c>
      <c r="G108" s="645" t="s">
        <v>1372</v>
      </c>
      <c r="H108" s="646">
        <v>80</v>
      </c>
      <c r="I108" s="647">
        <v>230</v>
      </c>
      <c r="J108" s="648">
        <f t="shared" si="3"/>
        <v>18400</v>
      </c>
      <c r="K108" s="1097"/>
    </row>
    <row r="109" spans="1:11" s="649" customFormat="1" ht="20.100000000000001" customHeight="1">
      <c r="A109" s="1074"/>
      <c r="B109" s="1094"/>
      <c r="C109" s="1074"/>
      <c r="D109" s="1074"/>
      <c r="E109" s="1074"/>
      <c r="F109" s="645" t="s">
        <v>1997</v>
      </c>
      <c r="G109" s="645" t="s">
        <v>1372</v>
      </c>
      <c r="H109" s="646">
        <v>45</v>
      </c>
      <c r="I109" s="647">
        <v>120</v>
      </c>
      <c r="J109" s="648">
        <f t="shared" si="3"/>
        <v>5400</v>
      </c>
      <c r="K109" s="1097"/>
    </row>
    <row r="110" spans="1:11" s="649" customFormat="1" ht="20.100000000000001" customHeight="1">
      <c r="A110" s="1074"/>
      <c r="B110" s="1094"/>
      <c r="C110" s="1074"/>
      <c r="D110" s="1074"/>
      <c r="E110" s="1074"/>
      <c r="F110" s="645" t="s">
        <v>1998</v>
      </c>
      <c r="G110" s="645" t="s">
        <v>1372</v>
      </c>
      <c r="H110" s="646">
        <v>45</v>
      </c>
      <c r="I110" s="647">
        <v>80</v>
      </c>
      <c r="J110" s="648">
        <f t="shared" si="3"/>
        <v>3600</v>
      </c>
      <c r="K110" s="1097"/>
    </row>
    <row r="111" spans="1:11" s="649" customFormat="1" ht="20.100000000000001" customHeight="1">
      <c r="A111" s="1074"/>
      <c r="B111" s="1094"/>
      <c r="C111" s="1074"/>
      <c r="D111" s="1074"/>
      <c r="E111" s="1074"/>
      <c r="F111" s="645" t="s">
        <v>1999</v>
      </c>
      <c r="G111" s="645" t="s">
        <v>1701</v>
      </c>
      <c r="H111" s="646">
        <v>60</v>
      </c>
      <c r="I111" s="647">
        <v>160</v>
      </c>
      <c r="J111" s="648">
        <f t="shared" si="3"/>
        <v>9600</v>
      </c>
      <c r="K111" s="1097"/>
    </row>
    <row r="112" spans="1:11" s="649" customFormat="1" ht="20.100000000000001" customHeight="1">
      <c r="A112" s="1074"/>
      <c r="B112" s="1094"/>
      <c r="C112" s="1074"/>
      <c r="D112" s="1074"/>
      <c r="E112" s="1074" t="s">
        <v>2000</v>
      </c>
      <c r="F112" s="1074"/>
      <c r="G112" s="645" t="s">
        <v>1441</v>
      </c>
      <c r="H112" s="646">
        <v>1</v>
      </c>
      <c r="I112" s="647">
        <v>5000</v>
      </c>
      <c r="J112" s="648">
        <f t="shared" si="3"/>
        <v>5000</v>
      </c>
      <c r="K112" s="1097"/>
    </row>
    <row r="113" spans="1:11" s="649" customFormat="1" ht="20.100000000000001" customHeight="1">
      <c r="A113" s="1074"/>
      <c r="B113" s="1094"/>
      <c r="C113" s="1074"/>
      <c r="D113" s="1074"/>
      <c r="E113" s="1074" t="s">
        <v>2001</v>
      </c>
      <c r="F113" s="645" t="s">
        <v>2002</v>
      </c>
      <c r="G113" s="645" t="s">
        <v>1372</v>
      </c>
      <c r="H113" s="646">
        <v>160</v>
      </c>
      <c r="I113" s="647">
        <v>300</v>
      </c>
      <c r="J113" s="648">
        <f t="shared" si="3"/>
        <v>48000</v>
      </c>
      <c r="K113" s="1097"/>
    </row>
    <row r="114" spans="1:11" s="649" customFormat="1" ht="20.100000000000001" customHeight="1">
      <c r="A114" s="1074"/>
      <c r="B114" s="1094"/>
      <c r="C114" s="1074"/>
      <c r="D114" s="1074"/>
      <c r="E114" s="1074"/>
      <c r="F114" s="645" t="s">
        <v>2003</v>
      </c>
      <c r="G114" s="645" t="s">
        <v>1372</v>
      </c>
      <c r="H114" s="646">
        <v>160</v>
      </c>
      <c r="I114" s="647">
        <v>300</v>
      </c>
      <c r="J114" s="648">
        <f t="shared" si="3"/>
        <v>48000</v>
      </c>
      <c r="K114" s="1097"/>
    </row>
    <row r="115" spans="1:11" s="649" customFormat="1" ht="20.100000000000001" customHeight="1">
      <c r="A115" s="1074"/>
      <c r="B115" s="1094"/>
      <c r="C115" s="1074"/>
      <c r="D115" s="1074"/>
      <c r="E115" s="1074" t="s">
        <v>2004</v>
      </c>
      <c r="F115" s="1074"/>
      <c r="G115" s="645" t="s">
        <v>1372</v>
      </c>
      <c r="H115" s="646">
        <v>100</v>
      </c>
      <c r="I115" s="647">
        <v>350</v>
      </c>
      <c r="J115" s="648">
        <f t="shared" si="3"/>
        <v>35000</v>
      </c>
      <c r="K115" s="1097"/>
    </row>
    <row r="116" spans="1:11" s="649" customFormat="1" ht="20.100000000000001" customHeight="1">
      <c r="A116" s="1074"/>
      <c r="B116" s="1094"/>
      <c r="C116" s="1074"/>
      <c r="D116" s="1074"/>
      <c r="E116" s="1074" t="s">
        <v>1994</v>
      </c>
      <c r="F116" s="1074"/>
      <c r="G116" s="645" t="s">
        <v>1701</v>
      </c>
      <c r="H116" s="646">
        <v>0</v>
      </c>
      <c r="I116" s="647">
        <v>0</v>
      </c>
      <c r="J116" s="648">
        <f t="shared" si="3"/>
        <v>0</v>
      </c>
      <c r="K116" s="1097"/>
    </row>
    <row r="117" spans="1:11" s="649" customFormat="1" ht="20.100000000000001" customHeight="1">
      <c r="A117" s="1074"/>
      <c r="B117" s="1094"/>
      <c r="C117" s="1074"/>
      <c r="D117" s="1074"/>
      <c r="E117" s="1074" t="s">
        <v>2005</v>
      </c>
      <c r="F117" s="1074"/>
      <c r="G117" s="645" t="s">
        <v>1372</v>
      </c>
      <c r="H117" s="646">
        <v>40</v>
      </c>
      <c r="I117" s="647">
        <v>100</v>
      </c>
      <c r="J117" s="648">
        <f t="shared" si="3"/>
        <v>4000</v>
      </c>
      <c r="K117" s="1097"/>
    </row>
    <row r="118" spans="1:11" s="649" customFormat="1" ht="20.100000000000001" customHeight="1">
      <c r="A118" s="1074"/>
      <c r="B118" s="1094"/>
      <c r="C118" s="1074"/>
      <c r="D118" s="1074" t="s">
        <v>1926</v>
      </c>
      <c r="E118" s="1074" t="s">
        <v>1928</v>
      </c>
      <c r="F118" s="1074"/>
      <c r="G118" s="645" t="s">
        <v>1372</v>
      </c>
      <c r="H118" s="646">
        <v>49</v>
      </c>
      <c r="I118" s="647">
        <v>45</v>
      </c>
      <c r="J118" s="648">
        <f t="shared" si="3"/>
        <v>2205</v>
      </c>
      <c r="K118" s="1097"/>
    </row>
    <row r="119" spans="1:11" s="649" customFormat="1" ht="20.100000000000001" customHeight="1">
      <c r="A119" s="1074"/>
      <c r="B119" s="1094"/>
      <c r="C119" s="1074"/>
      <c r="D119" s="1074"/>
      <c r="E119" s="1074" t="s">
        <v>1929</v>
      </c>
      <c r="F119" s="1074"/>
      <c r="G119" s="645" t="s">
        <v>1372</v>
      </c>
      <c r="H119" s="646">
        <v>20</v>
      </c>
      <c r="I119" s="647">
        <v>45</v>
      </c>
      <c r="J119" s="648">
        <f t="shared" si="3"/>
        <v>900</v>
      </c>
      <c r="K119" s="1097"/>
    </row>
    <row r="120" spans="1:11" s="649" customFormat="1" ht="20.100000000000001" customHeight="1">
      <c r="A120" s="1074"/>
      <c r="B120" s="1094"/>
      <c r="C120" s="1074"/>
      <c r="D120" s="1074"/>
      <c r="E120" s="1074" t="s">
        <v>2006</v>
      </c>
      <c r="F120" s="645" t="s">
        <v>1954</v>
      </c>
      <c r="G120" s="645" t="s">
        <v>1372</v>
      </c>
      <c r="H120" s="646">
        <v>80</v>
      </c>
      <c r="I120" s="647">
        <v>230</v>
      </c>
      <c r="J120" s="648">
        <f t="shared" si="3"/>
        <v>18400</v>
      </c>
      <c r="K120" s="1097"/>
    </row>
    <row r="121" spans="1:11" s="649" customFormat="1" ht="20.100000000000001" customHeight="1">
      <c r="A121" s="1074"/>
      <c r="B121" s="1094"/>
      <c r="C121" s="1074"/>
      <c r="D121" s="1074"/>
      <c r="E121" s="1074"/>
      <c r="F121" s="645" t="s">
        <v>1997</v>
      </c>
      <c r="G121" s="645" t="s">
        <v>1372</v>
      </c>
      <c r="H121" s="646">
        <v>45</v>
      </c>
      <c r="I121" s="647">
        <v>120</v>
      </c>
      <c r="J121" s="648">
        <f t="shared" si="3"/>
        <v>5400</v>
      </c>
      <c r="K121" s="1097"/>
    </row>
    <row r="122" spans="1:11" s="649" customFormat="1" ht="20.100000000000001" customHeight="1">
      <c r="A122" s="1074"/>
      <c r="B122" s="1094"/>
      <c r="C122" s="1074"/>
      <c r="D122" s="1074"/>
      <c r="E122" s="1074"/>
      <c r="F122" s="645" t="s">
        <v>1998</v>
      </c>
      <c r="G122" s="645" t="s">
        <v>1372</v>
      </c>
      <c r="H122" s="646">
        <v>45</v>
      </c>
      <c r="I122" s="647">
        <v>80</v>
      </c>
      <c r="J122" s="648">
        <f t="shared" si="3"/>
        <v>3600</v>
      </c>
      <c r="K122" s="1097"/>
    </row>
    <row r="123" spans="1:11" s="649" customFormat="1" ht="20.100000000000001" customHeight="1">
      <c r="A123" s="1074"/>
      <c r="B123" s="1094"/>
      <c r="C123" s="1074"/>
      <c r="D123" s="1074"/>
      <c r="E123" s="1074"/>
      <c r="F123" s="645" t="s">
        <v>1999</v>
      </c>
      <c r="G123" s="645" t="s">
        <v>1701</v>
      </c>
      <c r="H123" s="646">
        <v>60</v>
      </c>
      <c r="I123" s="647">
        <v>160</v>
      </c>
      <c r="J123" s="648">
        <f t="shared" si="3"/>
        <v>9600</v>
      </c>
      <c r="K123" s="1097"/>
    </row>
    <row r="124" spans="1:11" s="649" customFormat="1" ht="20.100000000000001" customHeight="1">
      <c r="A124" s="1074"/>
      <c r="B124" s="1094"/>
      <c r="C124" s="1074"/>
      <c r="D124" s="1074"/>
      <c r="E124" s="1074" t="s">
        <v>2007</v>
      </c>
      <c r="F124" s="645" t="s">
        <v>1954</v>
      </c>
      <c r="G124" s="645" t="s">
        <v>1372</v>
      </c>
      <c r="H124" s="646">
        <v>100</v>
      </c>
      <c r="I124" s="647">
        <v>230</v>
      </c>
      <c r="J124" s="648">
        <f t="shared" si="3"/>
        <v>23000</v>
      </c>
      <c r="K124" s="1097"/>
    </row>
    <row r="125" spans="1:11" s="649" customFormat="1" ht="20.100000000000001" customHeight="1">
      <c r="A125" s="1074"/>
      <c r="B125" s="1094"/>
      <c r="C125" s="1074"/>
      <c r="D125" s="1074"/>
      <c r="E125" s="1074"/>
      <c r="F125" s="645" t="s">
        <v>1999</v>
      </c>
      <c r="G125" s="645" t="s">
        <v>1701</v>
      </c>
      <c r="H125" s="646">
        <v>0</v>
      </c>
      <c r="I125" s="647">
        <v>0</v>
      </c>
      <c r="J125" s="648">
        <f t="shared" si="3"/>
        <v>0</v>
      </c>
      <c r="K125" s="1097"/>
    </row>
    <row r="126" spans="1:11" s="649" customFormat="1" ht="20.100000000000001" customHeight="1">
      <c r="A126" s="1074"/>
      <c r="B126" s="1094"/>
      <c r="C126" s="1074"/>
      <c r="D126" s="1074"/>
      <c r="E126" s="1074" t="s">
        <v>2008</v>
      </c>
      <c r="F126" s="1074"/>
      <c r="G126" s="645" t="s">
        <v>1372</v>
      </c>
      <c r="H126" s="646">
        <v>320</v>
      </c>
      <c r="I126" s="647">
        <v>200</v>
      </c>
      <c r="J126" s="648">
        <f t="shared" si="3"/>
        <v>64000</v>
      </c>
      <c r="K126" s="1097"/>
    </row>
    <row r="127" spans="1:11" s="649" customFormat="1" ht="20.100000000000001" customHeight="1">
      <c r="A127" s="1074"/>
      <c r="B127" s="1094"/>
      <c r="C127" s="1074"/>
      <c r="D127" s="1074"/>
      <c r="E127" s="1074" t="s">
        <v>1994</v>
      </c>
      <c r="F127" s="1074"/>
      <c r="G127" s="645" t="s">
        <v>1701</v>
      </c>
      <c r="H127" s="646">
        <v>0</v>
      </c>
      <c r="I127" s="647">
        <v>0</v>
      </c>
      <c r="J127" s="648">
        <f t="shared" si="3"/>
        <v>0</v>
      </c>
      <c r="K127" s="1097"/>
    </row>
    <row r="128" spans="1:11" s="649" customFormat="1" ht="20.100000000000001" customHeight="1">
      <c r="A128" s="1074"/>
      <c r="B128" s="1094"/>
      <c r="C128" s="1074"/>
      <c r="D128" s="1074"/>
      <c r="E128" s="1074" t="s">
        <v>2009</v>
      </c>
      <c r="F128" s="1074"/>
      <c r="G128" s="645" t="s">
        <v>1701</v>
      </c>
      <c r="H128" s="646">
        <v>40</v>
      </c>
      <c r="I128" s="647">
        <v>100</v>
      </c>
      <c r="J128" s="648">
        <f t="shared" si="3"/>
        <v>4000</v>
      </c>
      <c r="K128" s="1097"/>
    </row>
    <row r="129" spans="1:11" s="649" customFormat="1" ht="20.100000000000001" customHeight="1">
      <c r="A129" s="1074"/>
      <c r="B129" s="1094"/>
      <c r="C129" s="1074"/>
      <c r="D129" s="650" t="s">
        <v>2010</v>
      </c>
      <c r="E129" s="1074" t="s">
        <v>2011</v>
      </c>
      <c r="F129" s="1074"/>
      <c r="G129" s="645" t="s">
        <v>1372</v>
      </c>
      <c r="H129" s="646">
        <v>720</v>
      </c>
      <c r="I129" s="647">
        <v>100</v>
      </c>
      <c r="J129" s="648">
        <f t="shared" si="3"/>
        <v>72000</v>
      </c>
      <c r="K129" s="1097"/>
    </row>
    <row r="130" spans="1:11" s="649" customFormat="1" ht="20.100000000000001" customHeight="1">
      <c r="A130" s="1074"/>
      <c r="B130" s="1094"/>
      <c r="C130" s="1073" t="s">
        <v>24</v>
      </c>
      <c r="D130" s="1073"/>
      <c r="E130" s="1073"/>
      <c r="F130" s="1073"/>
      <c r="G130" s="651"/>
      <c r="H130" s="652"/>
      <c r="I130" s="651"/>
      <c r="J130" s="653">
        <f>SUM(J78:J129)</f>
        <v>809580</v>
      </c>
      <c r="K130" s="1097"/>
    </row>
    <row r="131" spans="1:11" s="649" customFormat="1" ht="20.100000000000001" customHeight="1">
      <c r="A131" s="1074"/>
      <c r="B131" s="1094"/>
      <c r="C131" s="1087" t="s">
        <v>2012</v>
      </c>
      <c r="D131" s="1088"/>
      <c r="E131" s="1074" t="s">
        <v>1928</v>
      </c>
      <c r="F131" s="1074"/>
      <c r="G131" s="645" t="s">
        <v>1372</v>
      </c>
      <c r="H131" s="646">
        <v>200</v>
      </c>
      <c r="I131" s="647">
        <v>45</v>
      </c>
      <c r="J131" s="648">
        <f>H131*I131</f>
        <v>9000</v>
      </c>
      <c r="K131" s="1097"/>
    </row>
    <row r="132" spans="1:11" s="649" customFormat="1" ht="20.100000000000001" customHeight="1">
      <c r="A132" s="1074"/>
      <c r="B132" s="1094"/>
      <c r="C132" s="1089"/>
      <c r="D132" s="1090"/>
      <c r="E132" s="1074" t="s">
        <v>1929</v>
      </c>
      <c r="F132" s="1074"/>
      <c r="G132" s="645" t="s">
        <v>1372</v>
      </c>
      <c r="H132" s="646">
        <v>140</v>
      </c>
      <c r="I132" s="647">
        <v>45</v>
      </c>
      <c r="J132" s="648">
        <f>H132*I132</f>
        <v>6300</v>
      </c>
      <c r="K132" s="1097"/>
    </row>
    <row r="133" spans="1:11" s="649" customFormat="1" ht="20.100000000000001" customHeight="1">
      <c r="A133" s="1074"/>
      <c r="B133" s="1094"/>
      <c r="C133" s="1089"/>
      <c r="D133" s="1090"/>
      <c r="E133" s="1074" t="s">
        <v>2013</v>
      </c>
      <c r="F133" s="1074"/>
      <c r="G133" s="645" t="s">
        <v>1372</v>
      </c>
      <c r="H133" s="646">
        <v>35</v>
      </c>
      <c r="I133" s="647">
        <v>280</v>
      </c>
      <c r="J133" s="648">
        <f t="shared" ref="J133:J135" si="4">H133*I133</f>
        <v>9800</v>
      </c>
      <c r="K133" s="1097"/>
    </row>
    <row r="134" spans="1:11" s="649" customFormat="1" ht="20.100000000000001" customHeight="1">
      <c r="A134" s="1074"/>
      <c r="B134" s="1094"/>
      <c r="C134" s="1089"/>
      <c r="D134" s="1090"/>
      <c r="E134" s="1074" t="s">
        <v>1931</v>
      </c>
      <c r="F134" s="1074"/>
      <c r="G134" s="645" t="s">
        <v>1372</v>
      </c>
      <c r="H134" s="646">
        <v>128</v>
      </c>
      <c r="I134" s="647">
        <f>I30</f>
        <v>200</v>
      </c>
      <c r="J134" s="648">
        <f t="shared" si="4"/>
        <v>25600</v>
      </c>
      <c r="K134" s="1097"/>
    </row>
    <row r="135" spans="1:11" s="649" customFormat="1" ht="20.100000000000001" customHeight="1">
      <c r="A135" s="1074"/>
      <c r="B135" s="1094"/>
      <c r="C135" s="1091"/>
      <c r="D135" s="1092"/>
      <c r="E135" s="1074" t="s">
        <v>2014</v>
      </c>
      <c r="F135" s="1074"/>
      <c r="G135" s="645" t="s">
        <v>1441</v>
      </c>
      <c r="H135" s="646">
        <v>8</v>
      </c>
      <c r="I135" s="647">
        <v>1200</v>
      </c>
      <c r="J135" s="648">
        <f t="shared" si="4"/>
        <v>9600</v>
      </c>
      <c r="K135" s="1097"/>
    </row>
    <row r="136" spans="1:11" s="649" customFormat="1" ht="20.100000000000001" customHeight="1">
      <c r="A136" s="1074"/>
      <c r="B136" s="1094"/>
      <c r="C136" s="1073" t="s">
        <v>24</v>
      </c>
      <c r="D136" s="1073"/>
      <c r="E136" s="1073"/>
      <c r="F136" s="1073"/>
      <c r="G136" s="651"/>
      <c r="H136" s="652"/>
      <c r="I136" s="651"/>
      <c r="J136" s="653">
        <f>SUM(J131:J135)</f>
        <v>60300</v>
      </c>
      <c r="K136" s="1097"/>
    </row>
    <row r="137" spans="1:11" s="649" customFormat="1" ht="20.100000000000001" customHeight="1">
      <c r="A137" s="1074"/>
      <c r="B137" s="1094"/>
      <c r="C137" s="1074" t="s">
        <v>2015</v>
      </c>
      <c r="D137" s="1074" t="s">
        <v>1459</v>
      </c>
      <c r="E137" s="1074" t="s">
        <v>2016</v>
      </c>
      <c r="F137" s="645" t="s">
        <v>2017</v>
      </c>
      <c r="G137" s="1081" t="s">
        <v>1376</v>
      </c>
      <c r="H137" s="1084">
        <v>1</v>
      </c>
      <c r="I137" s="1075">
        <v>30000</v>
      </c>
      <c r="J137" s="1078">
        <f t="shared" si="0"/>
        <v>30000</v>
      </c>
      <c r="K137" s="1097"/>
    </row>
    <row r="138" spans="1:11" s="649" customFormat="1" ht="20.100000000000001" customHeight="1">
      <c r="A138" s="1074"/>
      <c r="B138" s="1094"/>
      <c r="C138" s="1074"/>
      <c r="D138" s="1074"/>
      <c r="E138" s="1074"/>
      <c r="F138" s="645" t="s">
        <v>2018</v>
      </c>
      <c r="G138" s="1082"/>
      <c r="H138" s="1085"/>
      <c r="I138" s="1076"/>
      <c r="J138" s="1079"/>
      <c r="K138" s="1097"/>
    </row>
    <row r="139" spans="1:11" s="649" customFormat="1" ht="20.100000000000001" customHeight="1">
      <c r="A139" s="1074"/>
      <c r="B139" s="1094"/>
      <c r="C139" s="1074"/>
      <c r="D139" s="1074"/>
      <c r="E139" s="1074"/>
      <c r="F139" s="645" t="s">
        <v>2019</v>
      </c>
      <c r="G139" s="1082"/>
      <c r="H139" s="1085"/>
      <c r="I139" s="1076"/>
      <c r="J139" s="1079"/>
      <c r="K139" s="1097"/>
    </row>
    <row r="140" spans="1:11" s="649" customFormat="1" ht="20.100000000000001" customHeight="1">
      <c r="A140" s="1074"/>
      <c r="B140" s="1094"/>
      <c r="C140" s="1074"/>
      <c r="D140" s="1074"/>
      <c r="E140" s="1074"/>
      <c r="F140" s="645" t="s">
        <v>2020</v>
      </c>
      <c r="G140" s="1082"/>
      <c r="H140" s="1085"/>
      <c r="I140" s="1076"/>
      <c r="J140" s="1079"/>
      <c r="K140" s="1097"/>
    </row>
    <row r="141" spans="1:11" s="649" customFormat="1" ht="20.100000000000001" customHeight="1">
      <c r="A141" s="1074"/>
      <c r="B141" s="1094"/>
      <c r="C141" s="1074"/>
      <c r="D141" s="1074"/>
      <c r="E141" s="1074"/>
      <c r="F141" s="645" t="s">
        <v>2021</v>
      </c>
      <c r="G141" s="1083"/>
      <c r="H141" s="1086"/>
      <c r="I141" s="1077"/>
      <c r="J141" s="1080"/>
      <c r="K141" s="1097"/>
    </row>
    <row r="142" spans="1:11" s="649" customFormat="1" ht="20.100000000000001" customHeight="1">
      <c r="A142" s="1074"/>
      <c r="B142" s="1094"/>
      <c r="C142" s="1074"/>
      <c r="D142" s="1074"/>
      <c r="E142" s="1074" t="s">
        <v>2022</v>
      </c>
      <c r="F142" s="645" t="s">
        <v>2023</v>
      </c>
      <c r="G142" s="645" t="s">
        <v>1441</v>
      </c>
      <c r="H142" s="646">
        <v>45</v>
      </c>
      <c r="I142" s="647">
        <v>200</v>
      </c>
      <c r="J142" s="648">
        <f t="shared" si="0"/>
        <v>9000</v>
      </c>
      <c r="K142" s="1097"/>
    </row>
    <row r="143" spans="1:11" s="649" customFormat="1" ht="20.100000000000001" customHeight="1">
      <c r="A143" s="1074"/>
      <c r="B143" s="1094"/>
      <c r="C143" s="1074"/>
      <c r="D143" s="1074"/>
      <c r="E143" s="1074"/>
      <c r="F143" s="645" t="s">
        <v>2024</v>
      </c>
      <c r="G143" s="645" t="s">
        <v>1441</v>
      </c>
      <c r="H143" s="646">
        <v>15</v>
      </c>
      <c r="I143" s="647">
        <v>130</v>
      </c>
      <c r="J143" s="648">
        <f t="shared" si="0"/>
        <v>1950</v>
      </c>
      <c r="K143" s="1097"/>
    </row>
    <row r="144" spans="1:11" s="649" customFormat="1" ht="20.100000000000001" customHeight="1">
      <c r="A144" s="1074"/>
      <c r="B144" s="1094"/>
      <c r="C144" s="1074"/>
      <c r="D144" s="1074"/>
      <c r="E144" s="1074"/>
      <c r="F144" s="645" t="s">
        <v>2025</v>
      </c>
      <c r="G144" s="645" t="s">
        <v>1101</v>
      </c>
      <c r="H144" s="646">
        <v>191</v>
      </c>
      <c r="I144" s="647">
        <v>100</v>
      </c>
      <c r="J144" s="648">
        <f t="shared" si="0"/>
        <v>19100</v>
      </c>
      <c r="K144" s="1097"/>
    </row>
    <row r="145" spans="1:11" s="649" customFormat="1" ht="20.100000000000001" customHeight="1">
      <c r="A145" s="1074"/>
      <c r="B145" s="1094"/>
      <c r="C145" s="1074"/>
      <c r="D145" s="1074"/>
      <c r="E145" s="1074" t="s">
        <v>2026</v>
      </c>
      <c r="F145" s="1074"/>
      <c r="G145" s="645" t="s">
        <v>1376</v>
      </c>
      <c r="H145" s="646">
        <v>1</v>
      </c>
      <c r="I145" s="647">
        <v>50000</v>
      </c>
      <c r="J145" s="648">
        <f t="shared" si="0"/>
        <v>50000</v>
      </c>
      <c r="K145" s="1097"/>
    </row>
    <row r="146" spans="1:11" s="649" customFormat="1" ht="20.100000000000001" customHeight="1">
      <c r="A146" s="1074"/>
      <c r="B146" s="1094"/>
      <c r="C146" s="1074"/>
      <c r="D146" s="1074"/>
      <c r="E146" s="1074" t="s">
        <v>2027</v>
      </c>
      <c r="F146" s="1074"/>
      <c r="G146" s="645" t="s">
        <v>1376</v>
      </c>
      <c r="H146" s="646">
        <v>1</v>
      </c>
      <c r="I146" s="647">
        <v>100000</v>
      </c>
      <c r="J146" s="648">
        <f t="shared" si="0"/>
        <v>100000</v>
      </c>
      <c r="K146" s="1097"/>
    </row>
    <row r="147" spans="1:11" s="649" customFormat="1" ht="20.100000000000001" customHeight="1">
      <c r="A147" s="1074"/>
      <c r="B147" s="1094"/>
      <c r="C147" s="1074"/>
      <c r="D147" s="1074"/>
      <c r="E147" s="1074" t="s">
        <v>2028</v>
      </c>
      <c r="F147" s="645" t="s">
        <v>2029</v>
      </c>
      <c r="G147" s="645" t="s">
        <v>1372</v>
      </c>
      <c r="H147" s="646">
        <v>180</v>
      </c>
      <c r="I147" s="647">
        <v>60</v>
      </c>
      <c r="J147" s="648">
        <f t="shared" si="0"/>
        <v>10800</v>
      </c>
      <c r="K147" s="1097"/>
    </row>
    <row r="148" spans="1:11" s="649" customFormat="1" ht="20.100000000000001" customHeight="1">
      <c r="A148" s="1074"/>
      <c r="B148" s="1094"/>
      <c r="C148" s="1074"/>
      <c r="D148" s="1074"/>
      <c r="E148" s="1074"/>
      <c r="F148" s="645" t="s">
        <v>2030</v>
      </c>
      <c r="G148" s="645" t="s">
        <v>1372</v>
      </c>
      <c r="H148" s="646">
        <v>130</v>
      </c>
      <c r="I148" s="647">
        <v>80</v>
      </c>
      <c r="J148" s="648">
        <f t="shared" si="0"/>
        <v>10400</v>
      </c>
      <c r="K148" s="1097"/>
    </row>
    <row r="149" spans="1:11" s="649" customFormat="1" ht="20.100000000000001" customHeight="1">
      <c r="A149" s="1074"/>
      <c r="B149" s="1094"/>
      <c r="C149" s="1074"/>
      <c r="D149" s="1074"/>
      <c r="E149" s="1074" t="s">
        <v>2031</v>
      </c>
      <c r="F149" s="645" t="s">
        <v>2032</v>
      </c>
      <c r="G149" s="645" t="s">
        <v>1441</v>
      </c>
      <c r="H149" s="646">
        <v>2</v>
      </c>
      <c r="I149" s="647">
        <v>5000</v>
      </c>
      <c r="J149" s="648">
        <f t="shared" si="0"/>
        <v>10000</v>
      </c>
      <c r="K149" s="1097"/>
    </row>
    <row r="150" spans="1:11" s="649" customFormat="1" ht="20.100000000000001" customHeight="1">
      <c r="A150" s="1074"/>
      <c r="B150" s="1094"/>
      <c r="C150" s="1074"/>
      <c r="D150" s="1074"/>
      <c r="E150" s="1074"/>
      <c r="F150" s="645" t="s">
        <v>2033</v>
      </c>
      <c r="G150" s="645" t="s">
        <v>1372</v>
      </c>
      <c r="H150" s="646">
        <v>6</v>
      </c>
      <c r="I150" s="647">
        <v>360</v>
      </c>
      <c r="J150" s="648">
        <f t="shared" si="0"/>
        <v>2160</v>
      </c>
      <c r="K150" s="1097"/>
    </row>
    <row r="151" spans="1:11" s="649" customFormat="1" ht="20.100000000000001" customHeight="1">
      <c r="A151" s="1074"/>
      <c r="B151" s="1094"/>
      <c r="C151" s="1074"/>
      <c r="D151" s="1074"/>
      <c r="E151" s="1074"/>
      <c r="F151" s="645" t="s">
        <v>2034</v>
      </c>
      <c r="G151" s="645" t="s">
        <v>1701</v>
      </c>
      <c r="H151" s="646">
        <v>0</v>
      </c>
      <c r="I151" s="647">
        <v>0</v>
      </c>
      <c r="J151" s="648">
        <f t="shared" si="0"/>
        <v>0</v>
      </c>
      <c r="K151" s="1097"/>
    </row>
    <row r="152" spans="1:11" s="649" customFormat="1" ht="20.100000000000001" customHeight="1">
      <c r="A152" s="1074"/>
      <c r="B152" s="1094"/>
      <c r="C152" s="1074"/>
      <c r="D152" s="1074"/>
      <c r="E152" s="1074" t="s">
        <v>2035</v>
      </c>
      <c r="F152" s="645" t="s">
        <v>2036</v>
      </c>
      <c r="G152" s="645" t="s">
        <v>1372</v>
      </c>
      <c r="H152" s="646">
        <v>28</v>
      </c>
      <c r="I152" s="647">
        <v>200</v>
      </c>
      <c r="J152" s="648">
        <f t="shared" si="0"/>
        <v>5600</v>
      </c>
      <c r="K152" s="1097"/>
    </row>
    <row r="153" spans="1:11" s="649" customFormat="1" ht="20.100000000000001" customHeight="1">
      <c r="A153" s="1074"/>
      <c r="B153" s="1094"/>
      <c r="C153" s="1074"/>
      <c r="D153" s="1074"/>
      <c r="E153" s="1074"/>
      <c r="F153" s="645" t="s">
        <v>2037</v>
      </c>
      <c r="G153" s="645" t="s">
        <v>1701</v>
      </c>
      <c r="H153" s="646">
        <v>25</v>
      </c>
      <c r="I153" s="647">
        <v>280</v>
      </c>
      <c r="J153" s="648">
        <f t="shared" si="0"/>
        <v>7000</v>
      </c>
      <c r="K153" s="1097"/>
    </row>
    <row r="154" spans="1:11" s="649" customFormat="1" ht="20.100000000000001" customHeight="1">
      <c r="A154" s="1074"/>
      <c r="B154" s="1094"/>
      <c r="C154" s="1074"/>
      <c r="D154" s="1074"/>
      <c r="E154" s="1074"/>
      <c r="F154" s="645" t="s">
        <v>2038</v>
      </c>
      <c r="G154" s="645" t="s">
        <v>1372</v>
      </c>
      <c r="H154" s="646">
        <v>20</v>
      </c>
      <c r="I154" s="647">
        <v>130</v>
      </c>
      <c r="J154" s="648">
        <f t="shared" si="0"/>
        <v>2600</v>
      </c>
      <c r="K154" s="1097"/>
    </row>
    <row r="155" spans="1:11" s="649" customFormat="1" ht="20.100000000000001" customHeight="1">
      <c r="A155" s="1074"/>
      <c r="B155" s="1094"/>
      <c r="C155" s="1074"/>
      <c r="D155" s="1074"/>
      <c r="E155" s="1074"/>
      <c r="F155" s="645" t="s">
        <v>2039</v>
      </c>
      <c r="G155" s="645" t="s">
        <v>1372</v>
      </c>
      <c r="H155" s="646">
        <v>25</v>
      </c>
      <c r="I155" s="647">
        <v>260</v>
      </c>
      <c r="J155" s="648">
        <f t="shared" si="0"/>
        <v>6500</v>
      </c>
      <c r="K155" s="1097"/>
    </row>
    <row r="156" spans="1:11" s="649" customFormat="1" ht="20.100000000000001" customHeight="1">
      <c r="A156" s="1074"/>
      <c r="B156" s="1094"/>
      <c r="C156" s="1074"/>
      <c r="D156" s="1074"/>
      <c r="E156" s="1074"/>
      <c r="F156" s="645" t="s">
        <v>2040</v>
      </c>
      <c r="G156" s="645" t="s">
        <v>1372</v>
      </c>
      <c r="H156" s="646">
        <v>0</v>
      </c>
      <c r="I156" s="647">
        <v>0</v>
      </c>
      <c r="J156" s="648">
        <f t="shared" si="0"/>
        <v>0</v>
      </c>
      <c r="K156" s="1097"/>
    </row>
    <row r="157" spans="1:11" s="649" customFormat="1" ht="20.100000000000001" customHeight="1">
      <c r="A157" s="1074"/>
      <c r="B157" s="1094"/>
      <c r="C157" s="1074"/>
      <c r="D157" s="1074"/>
      <c r="E157" s="1074" t="s">
        <v>2041</v>
      </c>
      <c r="F157" s="645" t="s">
        <v>2042</v>
      </c>
      <c r="G157" s="645" t="s">
        <v>1372</v>
      </c>
      <c r="H157" s="646">
        <v>15</v>
      </c>
      <c r="I157" s="647">
        <v>340</v>
      </c>
      <c r="J157" s="648">
        <f t="shared" si="0"/>
        <v>5100</v>
      </c>
      <c r="K157" s="1097"/>
    </row>
    <row r="158" spans="1:11" s="649" customFormat="1" ht="20.100000000000001" customHeight="1">
      <c r="A158" s="1074"/>
      <c r="B158" s="1094"/>
      <c r="C158" s="1074"/>
      <c r="D158" s="1074"/>
      <c r="E158" s="1074"/>
      <c r="F158" s="645" t="s">
        <v>2043</v>
      </c>
      <c r="G158" s="645" t="s">
        <v>1372</v>
      </c>
      <c r="H158" s="646">
        <v>14</v>
      </c>
      <c r="I158" s="647">
        <v>360</v>
      </c>
      <c r="J158" s="648">
        <f t="shared" si="0"/>
        <v>5040</v>
      </c>
      <c r="K158" s="1097"/>
    </row>
    <row r="159" spans="1:11" s="649" customFormat="1" ht="20.100000000000001" customHeight="1">
      <c r="A159" s="1074"/>
      <c r="B159" s="1094"/>
      <c r="C159" s="1074"/>
      <c r="D159" s="1074"/>
      <c r="E159" s="1074"/>
      <c r="F159" s="645" t="s">
        <v>2044</v>
      </c>
      <c r="G159" s="645" t="s">
        <v>1376</v>
      </c>
      <c r="H159" s="646">
        <v>1</v>
      </c>
      <c r="I159" s="647">
        <v>5000</v>
      </c>
      <c r="J159" s="648">
        <f t="shared" si="0"/>
        <v>5000</v>
      </c>
      <c r="K159" s="1097"/>
    </row>
    <row r="160" spans="1:11" s="649" customFormat="1" ht="20.100000000000001" customHeight="1">
      <c r="A160" s="1074"/>
      <c r="B160" s="1094"/>
      <c r="C160" s="1074"/>
      <c r="D160" s="1074"/>
      <c r="E160" s="1074" t="s">
        <v>2045</v>
      </c>
      <c r="F160" s="650" t="s">
        <v>2046</v>
      </c>
      <c r="G160" s="645" t="s">
        <v>1372</v>
      </c>
      <c r="H160" s="646">
        <v>20</v>
      </c>
      <c r="I160" s="647">
        <v>45</v>
      </c>
      <c r="J160" s="648">
        <f t="shared" si="0"/>
        <v>900</v>
      </c>
      <c r="K160" s="1097"/>
    </row>
    <row r="161" spans="1:11" s="649" customFormat="1" ht="20.100000000000001" customHeight="1">
      <c r="A161" s="1074"/>
      <c r="B161" s="1094"/>
      <c r="C161" s="1074"/>
      <c r="D161" s="1074"/>
      <c r="E161" s="1074"/>
      <c r="F161" s="650" t="s">
        <v>2047</v>
      </c>
      <c r="G161" s="645" t="s">
        <v>1372</v>
      </c>
      <c r="H161" s="646">
        <v>40</v>
      </c>
      <c r="I161" s="647">
        <v>45</v>
      </c>
      <c r="J161" s="648">
        <f t="shared" si="0"/>
        <v>1800</v>
      </c>
      <c r="K161" s="1097"/>
    </row>
    <row r="162" spans="1:11" s="649" customFormat="1" ht="20.100000000000001" customHeight="1">
      <c r="A162" s="1074"/>
      <c r="B162" s="1094"/>
      <c r="C162" s="1074"/>
      <c r="D162" s="1074"/>
      <c r="E162" s="1074" t="s">
        <v>2048</v>
      </c>
      <c r="F162" s="650" t="s">
        <v>1956</v>
      </c>
      <c r="G162" s="645" t="s">
        <v>1372</v>
      </c>
      <c r="H162" s="646">
        <v>130</v>
      </c>
      <c r="I162" s="647">
        <v>45</v>
      </c>
      <c r="J162" s="648">
        <f t="shared" si="0"/>
        <v>5850</v>
      </c>
      <c r="K162" s="1097"/>
    </row>
    <row r="163" spans="1:11" s="649" customFormat="1" ht="20.100000000000001" customHeight="1">
      <c r="A163" s="1074"/>
      <c r="B163" s="1094"/>
      <c r="C163" s="1074"/>
      <c r="D163" s="1074"/>
      <c r="E163" s="1074"/>
      <c r="F163" s="650" t="s">
        <v>1957</v>
      </c>
      <c r="G163" s="645" t="s">
        <v>1372</v>
      </c>
      <c r="H163" s="646">
        <v>50</v>
      </c>
      <c r="I163" s="647">
        <v>45</v>
      </c>
      <c r="J163" s="648">
        <f t="shared" si="0"/>
        <v>2250</v>
      </c>
      <c r="K163" s="1097"/>
    </row>
    <row r="164" spans="1:11" s="649" customFormat="1" ht="20.100000000000001" customHeight="1">
      <c r="A164" s="1074"/>
      <c r="B164" s="1094"/>
      <c r="C164" s="1074"/>
      <c r="D164" s="1074"/>
      <c r="E164" s="1074"/>
      <c r="F164" s="650" t="s">
        <v>1958</v>
      </c>
      <c r="G164" s="645" t="s">
        <v>1372</v>
      </c>
      <c r="H164" s="646">
        <v>2</v>
      </c>
      <c r="I164" s="647">
        <v>280</v>
      </c>
      <c r="J164" s="648">
        <f t="shared" si="0"/>
        <v>560</v>
      </c>
      <c r="K164" s="1097"/>
    </row>
    <row r="165" spans="1:11" s="649" customFormat="1" ht="20.100000000000001" customHeight="1">
      <c r="A165" s="1074"/>
      <c r="B165" s="1094"/>
      <c r="C165" s="1074"/>
      <c r="D165" s="1074"/>
      <c r="E165" s="1074"/>
      <c r="F165" s="650" t="s">
        <v>1959</v>
      </c>
      <c r="G165" s="645" t="s">
        <v>1372</v>
      </c>
      <c r="H165" s="646">
        <v>8</v>
      </c>
      <c r="I165" s="647">
        <v>260</v>
      </c>
      <c r="J165" s="648">
        <f t="shared" si="0"/>
        <v>2080</v>
      </c>
      <c r="K165" s="1097"/>
    </row>
    <row r="166" spans="1:11" s="649" customFormat="1" ht="20.100000000000001" customHeight="1">
      <c r="A166" s="1074"/>
      <c r="B166" s="1094"/>
      <c r="C166" s="1074"/>
      <c r="D166" s="1074"/>
      <c r="E166" s="1074" t="s">
        <v>2049</v>
      </c>
      <c r="F166" s="650" t="s">
        <v>1956</v>
      </c>
      <c r="G166" s="645" t="s">
        <v>1372</v>
      </c>
      <c r="H166" s="646">
        <v>60</v>
      </c>
      <c r="I166" s="647">
        <v>45</v>
      </c>
      <c r="J166" s="648">
        <f t="shared" si="0"/>
        <v>2700</v>
      </c>
      <c r="K166" s="1097"/>
    </row>
    <row r="167" spans="1:11" s="649" customFormat="1" ht="20.100000000000001" customHeight="1">
      <c r="A167" s="1074"/>
      <c r="B167" s="1094"/>
      <c r="C167" s="1074"/>
      <c r="D167" s="1074"/>
      <c r="E167" s="1074"/>
      <c r="F167" s="650" t="s">
        <v>1957</v>
      </c>
      <c r="G167" s="645" t="s">
        <v>1372</v>
      </c>
      <c r="H167" s="646">
        <v>30</v>
      </c>
      <c r="I167" s="647">
        <v>45</v>
      </c>
      <c r="J167" s="648">
        <f t="shared" si="0"/>
        <v>1350</v>
      </c>
      <c r="K167" s="1097"/>
    </row>
    <row r="168" spans="1:11" s="649" customFormat="1" ht="20.100000000000001" customHeight="1">
      <c r="A168" s="1074"/>
      <c r="B168" s="1094"/>
      <c r="C168" s="1074"/>
      <c r="D168" s="1074"/>
      <c r="E168" s="1074"/>
      <c r="F168" s="650" t="s">
        <v>1958</v>
      </c>
      <c r="G168" s="645" t="s">
        <v>1372</v>
      </c>
      <c r="H168" s="646">
        <v>10</v>
      </c>
      <c r="I168" s="647">
        <v>280</v>
      </c>
      <c r="J168" s="648">
        <f t="shared" si="0"/>
        <v>2800</v>
      </c>
      <c r="K168" s="1097"/>
    </row>
    <row r="169" spans="1:11" s="649" customFormat="1" ht="20.100000000000001" customHeight="1">
      <c r="A169" s="1074"/>
      <c r="B169" s="1094"/>
      <c r="C169" s="1074"/>
      <c r="D169" s="1074"/>
      <c r="E169" s="1074"/>
      <c r="F169" s="650" t="s">
        <v>1959</v>
      </c>
      <c r="G169" s="645" t="s">
        <v>1372</v>
      </c>
      <c r="H169" s="646">
        <v>25</v>
      </c>
      <c r="I169" s="647">
        <v>260</v>
      </c>
      <c r="J169" s="648">
        <f t="shared" si="0"/>
        <v>6500</v>
      </c>
      <c r="K169" s="1097"/>
    </row>
    <row r="170" spans="1:11" s="649" customFormat="1" ht="20.100000000000001" customHeight="1">
      <c r="A170" s="1074"/>
      <c r="B170" s="1094"/>
      <c r="C170" s="1074"/>
      <c r="D170" s="1074"/>
      <c r="E170" s="1074"/>
      <c r="F170" s="650" t="s">
        <v>2050</v>
      </c>
      <c r="G170" s="645" t="s">
        <v>1372</v>
      </c>
      <c r="H170" s="646">
        <v>0</v>
      </c>
      <c r="I170" s="647">
        <v>50</v>
      </c>
      <c r="J170" s="648">
        <f t="shared" si="0"/>
        <v>0</v>
      </c>
      <c r="K170" s="1097"/>
    </row>
    <row r="171" spans="1:11" s="649" customFormat="1" ht="20.100000000000001" customHeight="1">
      <c r="A171" s="1074"/>
      <c r="B171" s="1094"/>
      <c r="C171" s="1074"/>
      <c r="D171" s="1074"/>
      <c r="E171" s="1074" t="s">
        <v>2051</v>
      </c>
      <c r="F171" s="650" t="s">
        <v>1956</v>
      </c>
      <c r="G171" s="645" t="s">
        <v>1372</v>
      </c>
      <c r="H171" s="646">
        <v>40</v>
      </c>
      <c r="I171" s="647">
        <v>45</v>
      </c>
      <c r="J171" s="648">
        <f t="shared" si="0"/>
        <v>1800</v>
      </c>
      <c r="K171" s="1097"/>
    </row>
    <row r="172" spans="1:11" s="649" customFormat="1" ht="20.100000000000001" customHeight="1">
      <c r="A172" s="1074"/>
      <c r="B172" s="1094"/>
      <c r="C172" s="1074"/>
      <c r="D172" s="1074"/>
      <c r="E172" s="1074"/>
      <c r="F172" s="650" t="s">
        <v>1957</v>
      </c>
      <c r="G172" s="645" t="s">
        <v>1372</v>
      </c>
      <c r="H172" s="646">
        <v>30</v>
      </c>
      <c r="I172" s="647">
        <v>45</v>
      </c>
      <c r="J172" s="648">
        <f t="shared" si="0"/>
        <v>1350</v>
      </c>
      <c r="K172" s="1097"/>
    </row>
    <row r="173" spans="1:11" s="649" customFormat="1" ht="20.100000000000001" customHeight="1">
      <c r="A173" s="1074"/>
      <c r="B173" s="1094"/>
      <c r="C173" s="1074"/>
      <c r="D173" s="1074"/>
      <c r="E173" s="1074"/>
      <c r="F173" s="650" t="s">
        <v>1958</v>
      </c>
      <c r="G173" s="645" t="s">
        <v>1372</v>
      </c>
      <c r="H173" s="646">
        <v>5</v>
      </c>
      <c r="I173" s="647">
        <v>280</v>
      </c>
      <c r="J173" s="648">
        <f t="shared" si="0"/>
        <v>1400</v>
      </c>
      <c r="K173" s="1097"/>
    </row>
    <row r="174" spans="1:11" s="649" customFormat="1" ht="20.100000000000001" customHeight="1">
      <c r="A174" s="1074"/>
      <c r="B174" s="1094"/>
      <c r="C174" s="1074"/>
      <c r="D174" s="1074"/>
      <c r="E174" s="1074"/>
      <c r="F174" s="650" t="s">
        <v>1959</v>
      </c>
      <c r="G174" s="645" t="s">
        <v>1372</v>
      </c>
      <c r="H174" s="646">
        <v>25</v>
      </c>
      <c r="I174" s="647">
        <v>260</v>
      </c>
      <c r="J174" s="648">
        <f t="shared" si="0"/>
        <v>6500</v>
      </c>
      <c r="K174" s="1097"/>
    </row>
    <row r="175" spans="1:11" s="649" customFormat="1" ht="20.100000000000001" customHeight="1">
      <c r="A175" s="1074"/>
      <c r="B175" s="1094"/>
      <c r="C175" s="1074"/>
      <c r="D175" s="1074"/>
      <c r="E175" s="1074"/>
      <c r="F175" s="650" t="s">
        <v>2050</v>
      </c>
      <c r="G175" s="645" t="s">
        <v>1372</v>
      </c>
      <c r="H175" s="646">
        <v>0</v>
      </c>
      <c r="I175" s="647">
        <v>50</v>
      </c>
      <c r="J175" s="648">
        <f t="shared" si="0"/>
        <v>0</v>
      </c>
      <c r="K175" s="1097"/>
    </row>
    <row r="176" spans="1:11" s="649" customFormat="1" ht="20.100000000000001" customHeight="1">
      <c r="A176" s="1074"/>
      <c r="B176" s="1094"/>
      <c r="C176" s="1073" t="s">
        <v>24</v>
      </c>
      <c r="D176" s="1073"/>
      <c r="E176" s="1073"/>
      <c r="F176" s="1073"/>
      <c r="G176" s="655"/>
      <c r="H176" s="656"/>
      <c r="I176" s="647"/>
      <c r="J176" s="653">
        <f>SUM(J137:J175)</f>
        <v>318090</v>
      </c>
      <c r="K176" s="1097"/>
    </row>
    <row r="177" spans="1:11" s="649" customFormat="1" ht="20.100000000000001" customHeight="1">
      <c r="A177" s="1074"/>
      <c r="B177" s="1094"/>
      <c r="C177" s="1074" t="s">
        <v>2052</v>
      </c>
      <c r="D177" s="1074" t="s">
        <v>2053</v>
      </c>
      <c r="E177" s="1074" t="s">
        <v>2054</v>
      </c>
      <c r="F177" s="1074"/>
      <c r="G177" s="650" t="s">
        <v>2055</v>
      </c>
      <c r="H177" s="656" t="s">
        <v>2055</v>
      </c>
      <c r="I177" s="647" t="s">
        <v>2055</v>
      </c>
      <c r="J177" s="647">
        <v>10000</v>
      </c>
      <c r="K177" s="1097"/>
    </row>
    <row r="178" spans="1:11" s="649" customFormat="1" ht="20.100000000000001" customHeight="1">
      <c r="A178" s="1074"/>
      <c r="B178" s="1094"/>
      <c r="C178" s="1074"/>
      <c r="D178" s="1074"/>
      <c r="E178" s="1074" t="s">
        <v>2056</v>
      </c>
      <c r="F178" s="1074"/>
      <c r="G178" s="650" t="s">
        <v>2055</v>
      </c>
      <c r="H178" s="656" t="s">
        <v>2055</v>
      </c>
      <c r="I178" s="647" t="s">
        <v>2055</v>
      </c>
      <c r="J178" s="647">
        <v>10000</v>
      </c>
      <c r="K178" s="1097"/>
    </row>
    <row r="179" spans="1:11" s="649" customFormat="1" ht="20.100000000000001" customHeight="1">
      <c r="A179" s="1074"/>
      <c r="B179" s="1094"/>
      <c r="C179" s="1074"/>
      <c r="D179" s="1074" t="s">
        <v>2057</v>
      </c>
      <c r="E179" s="1074" t="s">
        <v>2058</v>
      </c>
      <c r="F179" s="1074"/>
      <c r="G179" s="650" t="s">
        <v>1441</v>
      </c>
      <c r="H179" s="657">
        <v>8</v>
      </c>
      <c r="I179" s="647">
        <v>1250</v>
      </c>
      <c r="J179" s="647">
        <f t="shared" ref="J179" si="5">H179*I179</f>
        <v>10000</v>
      </c>
      <c r="K179" s="1097"/>
    </row>
    <row r="180" spans="1:11" s="649" customFormat="1" ht="20.100000000000001" customHeight="1">
      <c r="A180" s="1074"/>
      <c r="B180" s="1094"/>
      <c r="C180" s="1074"/>
      <c r="D180" s="1074"/>
      <c r="E180" s="1074" t="s">
        <v>2059</v>
      </c>
      <c r="F180" s="1074"/>
      <c r="G180" s="650" t="s">
        <v>2055</v>
      </c>
      <c r="H180" s="650" t="s">
        <v>2055</v>
      </c>
      <c r="I180" s="650" t="s">
        <v>2055</v>
      </c>
      <c r="J180" s="647">
        <v>30000</v>
      </c>
      <c r="K180" s="1097"/>
    </row>
    <row r="181" spans="1:11" s="649" customFormat="1" ht="20.100000000000001" customHeight="1">
      <c r="A181" s="1074"/>
      <c r="B181" s="1094"/>
      <c r="C181" s="1074"/>
      <c r="D181" s="1074"/>
      <c r="E181" s="1074" t="s">
        <v>2060</v>
      </c>
      <c r="F181" s="1074"/>
      <c r="G181" s="650" t="s">
        <v>2055</v>
      </c>
      <c r="H181" s="650" t="s">
        <v>2055</v>
      </c>
      <c r="I181" s="650" t="s">
        <v>2055</v>
      </c>
      <c r="J181" s="647">
        <v>20000</v>
      </c>
      <c r="K181" s="1097"/>
    </row>
    <row r="182" spans="1:11" s="649" customFormat="1" ht="20.100000000000001" customHeight="1">
      <c r="A182" s="1074"/>
      <c r="B182" s="1094"/>
      <c r="C182" s="1073" t="s">
        <v>24</v>
      </c>
      <c r="D182" s="1073"/>
      <c r="E182" s="1073"/>
      <c r="F182" s="1073"/>
      <c r="G182" s="656"/>
      <c r="H182" s="656"/>
      <c r="I182" s="658"/>
      <c r="J182" s="658">
        <f>SUM(J177:J181)</f>
        <v>80000</v>
      </c>
      <c r="K182" s="1097"/>
    </row>
    <row r="183" spans="1:11" s="649" customFormat="1" ht="20.100000000000001" customHeight="1">
      <c r="A183" s="1074"/>
      <c r="B183" s="1094"/>
      <c r="C183" s="656" t="s">
        <v>2061</v>
      </c>
      <c r="D183" s="1073" t="s">
        <v>2055</v>
      </c>
      <c r="E183" s="1073"/>
      <c r="F183" s="1073"/>
      <c r="G183" s="650"/>
      <c r="H183" s="650"/>
      <c r="I183" s="647"/>
      <c r="J183" s="658">
        <f>J25+J39+J54+J72+J77+J136+J176+J182+J130</f>
        <v>4704299.5</v>
      </c>
      <c r="K183" s="1097"/>
    </row>
    <row r="184" spans="1:11" s="649" customFormat="1" ht="20.100000000000001" customHeight="1">
      <c r="A184" s="1074"/>
      <c r="B184" s="1094"/>
      <c r="C184" s="656" t="s">
        <v>2062</v>
      </c>
      <c r="D184" s="1073" t="s">
        <v>2055</v>
      </c>
      <c r="E184" s="1073"/>
      <c r="F184" s="1073"/>
      <c r="G184" s="650"/>
      <c r="H184" s="650"/>
      <c r="I184" s="647"/>
      <c r="J184" s="658">
        <f>J183*0.1</f>
        <v>470429.95</v>
      </c>
      <c r="K184" s="1097"/>
    </row>
    <row r="185" spans="1:11" s="649" customFormat="1" ht="20.100000000000001" customHeight="1">
      <c r="A185" s="1074"/>
      <c r="B185" s="1094"/>
      <c r="C185" s="1073" t="s">
        <v>2063</v>
      </c>
      <c r="D185" s="1074" t="s">
        <v>2064</v>
      </c>
      <c r="E185" s="1074" t="s">
        <v>2065</v>
      </c>
      <c r="F185" s="1074"/>
      <c r="G185" s="650"/>
      <c r="H185" s="650"/>
      <c r="I185" s="647"/>
      <c r="J185" s="647">
        <v>30000</v>
      </c>
      <c r="K185" s="1097"/>
    </row>
    <row r="186" spans="1:11" s="649" customFormat="1" ht="20.100000000000001" customHeight="1">
      <c r="A186" s="1074"/>
      <c r="B186" s="1094"/>
      <c r="C186" s="1073"/>
      <c r="D186" s="1074"/>
      <c r="E186" s="1074" t="s">
        <v>2066</v>
      </c>
      <c r="F186" s="1074"/>
      <c r="G186" s="650"/>
      <c r="H186" s="650"/>
      <c r="I186" s="647"/>
      <c r="J186" s="647">
        <v>30000</v>
      </c>
      <c r="K186" s="1097"/>
    </row>
    <row r="187" spans="1:11" s="649" customFormat="1" ht="20.100000000000001" customHeight="1">
      <c r="A187" s="1074"/>
      <c r="B187" s="1094"/>
      <c r="C187" s="1073"/>
      <c r="D187" s="650" t="s">
        <v>2067</v>
      </c>
      <c r="E187" s="1074" t="s">
        <v>2068</v>
      </c>
      <c r="F187" s="1074"/>
      <c r="G187" s="650"/>
      <c r="H187" s="650"/>
      <c r="I187" s="647"/>
      <c r="J187" s="647">
        <v>20000</v>
      </c>
      <c r="K187" s="1097"/>
    </row>
    <row r="188" spans="1:11" s="649" customFormat="1" ht="20.100000000000001" customHeight="1">
      <c r="A188" s="1074"/>
      <c r="B188" s="1094"/>
      <c r="C188" s="1073"/>
      <c r="D188" s="1074" t="s">
        <v>1415</v>
      </c>
      <c r="E188" s="1074"/>
      <c r="F188" s="1074"/>
      <c r="G188" s="650"/>
      <c r="H188" s="650">
        <v>45</v>
      </c>
      <c r="I188" s="647">
        <v>1800</v>
      </c>
      <c r="J188" s="647">
        <f t="shared" ref="J188" si="6">H188*I188</f>
        <v>81000</v>
      </c>
      <c r="K188" s="1097"/>
    </row>
    <row r="189" spans="1:11" s="649" customFormat="1" ht="20.100000000000001" customHeight="1">
      <c r="A189" s="1074"/>
      <c r="B189" s="1094"/>
      <c r="C189" s="1073"/>
      <c r="D189" s="1074" t="s">
        <v>2069</v>
      </c>
      <c r="E189" s="1074"/>
      <c r="F189" s="650" t="s">
        <v>2070</v>
      </c>
      <c r="G189" s="650"/>
      <c r="H189" s="650"/>
      <c r="I189" s="647"/>
      <c r="J189" s="647">
        <v>18000</v>
      </c>
      <c r="K189" s="1097"/>
    </row>
    <row r="190" spans="1:11" s="649" customFormat="1" ht="20.100000000000001" customHeight="1">
      <c r="A190" s="1074"/>
      <c r="B190" s="1094"/>
      <c r="C190" s="1073"/>
      <c r="D190" s="1071" t="s">
        <v>2071</v>
      </c>
      <c r="E190" s="1072"/>
      <c r="F190" s="659" t="s">
        <v>2072</v>
      </c>
      <c r="G190" s="650"/>
      <c r="H190" s="660">
        <v>15073.81</v>
      </c>
      <c r="I190" s="647">
        <v>1.7</v>
      </c>
      <c r="J190" s="647">
        <v>25625.48</v>
      </c>
      <c r="K190" s="1097"/>
    </row>
    <row r="191" spans="1:11" s="649" customFormat="1" ht="20.100000000000001" customHeight="1">
      <c r="A191" s="1074"/>
      <c r="B191" s="1094"/>
      <c r="C191" s="1073" t="s">
        <v>24</v>
      </c>
      <c r="D191" s="1073"/>
      <c r="E191" s="1073"/>
      <c r="F191" s="1073"/>
      <c r="G191" s="650"/>
      <c r="H191" s="661"/>
      <c r="I191" s="647"/>
      <c r="J191" s="658">
        <f>SUM(J185:J190)</f>
        <v>204625.48</v>
      </c>
      <c r="K191" s="1097"/>
    </row>
    <row r="192" spans="1:11" s="649" customFormat="1" ht="20.100000000000001" customHeight="1">
      <c r="A192" s="1074"/>
      <c r="B192" s="1095"/>
      <c r="C192" s="1073" t="s">
        <v>2073</v>
      </c>
      <c r="D192" s="1073"/>
      <c r="E192" s="1073"/>
      <c r="F192" s="1073"/>
      <c r="G192" s="650"/>
      <c r="H192" s="650"/>
      <c r="I192" s="650"/>
      <c r="J192" s="658">
        <f>J183+J184+J191</f>
        <v>5379354.9300000006</v>
      </c>
      <c r="K192" s="1098"/>
    </row>
    <row r="194" spans="9:10">
      <c r="I194" s="642"/>
      <c r="J194" s="643"/>
    </row>
    <row r="195" spans="9:10">
      <c r="I195" s="644"/>
      <c r="J195" s="644"/>
    </row>
    <row r="196" spans="9:10">
      <c r="J196" s="643"/>
    </row>
    <row r="197" spans="9:10">
      <c r="J197" s="642"/>
    </row>
    <row r="198" spans="9:10">
      <c r="J198" s="644"/>
    </row>
    <row r="199" spans="9:10">
      <c r="J199" s="644"/>
    </row>
  </sheetData>
  <mergeCells count="162">
    <mergeCell ref="K4:K192"/>
    <mergeCell ref="E5:F5"/>
    <mergeCell ref="E6:F6"/>
    <mergeCell ref="E7:F7"/>
    <mergeCell ref="E8:F9"/>
    <mergeCell ref="E10:F10"/>
    <mergeCell ref="A1:K1"/>
    <mergeCell ref="A2:A3"/>
    <mergeCell ref="B2:B3"/>
    <mergeCell ref="C2:D3"/>
    <mergeCell ref="E2:F3"/>
    <mergeCell ref="G2:J2"/>
    <mergeCell ref="K2:K3"/>
    <mergeCell ref="E11:F22"/>
    <mergeCell ref="G11:G12"/>
    <mergeCell ref="H11:H12"/>
    <mergeCell ref="I11:I12"/>
    <mergeCell ref="J11:J12"/>
    <mergeCell ref="E23:F23"/>
    <mergeCell ref="A4:A192"/>
    <mergeCell ref="B4:B192"/>
    <mergeCell ref="C4:D24"/>
    <mergeCell ref="E4:F4"/>
    <mergeCell ref="E33:F34"/>
    <mergeCell ref="D35:D38"/>
    <mergeCell ref="E35:F35"/>
    <mergeCell ref="E36:F36"/>
    <mergeCell ref="E37:F37"/>
    <mergeCell ref="E38:F38"/>
    <mergeCell ref="E24:F24"/>
    <mergeCell ref="C25:F25"/>
    <mergeCell ref="C26:C38"/>
    <mergeCell ref="D26:D34"/>
    <mergeCell ref="E26:F26"/>
    <mergeCell ref="E27:F27"/>
    <mergeCell ref="E28:F28"/>
    <mergeCell ref="E29:F29"/>
    <mergeCell ref="E30:F30"/>
    <mergeCell ref="E31:E32"/>
    <mergeCell ref="I42:I44"/>
    <mergeCell ref="J42:J44"/>
    <mergeCell ref="E45:F45"/>
    <mergeCell ref="E46:F46"/>
    <mergeCell ref="E47:E48"/>
    <mergeCell ref="E49:F49"/>
    <mergeCell ref="C39:F39"/>
    <mergeCell ref="C40:D53"/>
    <mergeCell ref="E40:E41"/>
    <mergeCell ref="E42:E44"/>
    <mergeCell ref="G42:G44"/>
    <mergeCell ref="H42:H44"/>
    <mergeCell ref="E50:F50"/>
    <mergeCell ref="H50:H51"/>
    <mergeCell ref="C72:F72"/>
    <mergeCell ref="C73:D76"/>
    <mergeCell ref="E73:F73"/>
    <mergeCell ref="E74:F74"/>
    <mergeCell ref="E75:F75"/>
    <mergeCell ref="E76:F76"/>
    <mergeCell ref="I50:I51"/>
    <mergeCell ref="J50:J51"/>
    <mergeCell ref="E51:F51"/>
    <mergeCell ref="E52:F53"/>
    <mergeCell ref="C54:F54"/>
    <mergeCell ref="C55:D71"/>
    <mergeCell ref="E55:E61"/>
    <mergeCell ref="E62:E66"/>
    <mergeCell ref="E67:E71"/>
    <mergeCell ref="C77:F77"/>
    <mergeCell ref="C78:C129"/>
    <mergeCell ref="D78:D91"/>
    <mergeCell ref="E78:F78"/>
    <mergeCell ref="E79:F79"/>
    <mergeCell ref="E80:F80"/>
    <mergeCell ref="E81:F81"/>
    <mergeCell ref="E82:F82"/>
    <mergeCell ref="E83:F83"/>
    <mergeCell ref="E84:F84"/>
    <mergeCell ref="E96:F96"/>
    <mergeCell ref="E97:F97"/>
    <mergeCell ref="E98:F98"/>
    <mergeCell ref="E99:F99"/>
    <mergeCell ref="E100:E102"/>
    <mergeCell ref="E103:F103"/>
    <mergeCell ref="E85:F85"/>
    <mergeCell ref="E86:E88"/>
    <mergeCell ref="E89:F89"/>
    <mergeCell ref="E90:F90"/>
    <mergeCell ref="E91:F91"/>
    <mergeCell ref="E92:F92"/>
    <mergeCell ref="E93:F93"/>
    <mergeCell ref="E94:F94"/>
    <mergeCell ref="E95:F95"/>
    <mergeCell ref="E104:F104"/>
    <mergeCell ref="E105:F105"/>
    <mergeCell ref="D106:D117"/>
    <mergeCell ref="E106:F106"/>
    <mergeCell ref="E107:F107"/>
    <mergeCell ref="E108:E111"/>
    <mergeCell ref="E112:F112"/>
    <mergeCell ref="E113:E114"/>
    <mergeCell ref="E115:F115"/>
    <mergeCell ref="E116:F116"/>
    <mergeCell ref="D92:D105"/>
    <mergeCell ref="E129:F129"/>
    <mergeCell ref="C130:F130"/>
    <mergeCell ref="C131:D135"/>
    <mergeCell ref="E131:F131"/>
    <mergeCell ref="E132:F132"/>
    <mergeCell ref="E133:F133"/>
    <mergeCell ref="E134:F134"/>
    <mergeCell ref="E135:F135"/>
    <mergeCell ref="E117:F117"/>
    <mergeCell ref="D118:D128"/>
    <mergeCell ref="E118:F118"/>
    <mergeCell ref="E119:F119"/>
    <mergeCell ref="E120:E123"/>
    <mergeCell ref="E124:E125"/>
    <mergeCell ref="E126:F126"/>
    <mergeCell ref="E127:F127"/>
    <mergeCell ref="E128:F128"/>
    <mergeCell ref="I137:I141"/>
    <mergeCell ref="J137:J141"/>
    <mergeCell ref="E142:E144"/>
    <mergeCell ref="E145:F145"/>
    <mergeCell ref="E146:F146"/>
    <mergeCell ref="E147:E148"/>
    <mergeCell ref="C136:F136"/>
    <mergeCell ref="C137:C175"/>
    <mergeCell ref="D137:D175"/>
    <mergeCell ref="E137:E141"/>
    <mergeCell ref="G137:G141"/>
    <mergeCell ref="H137:H141"/>
    <mergeCell ref="E149:E151"/>
    <mergeCell ref="E152:E156"/>
    <mergeCell ref="E157:E159"/>
    <mergeCell ref="E160:E161"/>
    <mergeCell ref="E162:E165"/>
    <mergeCell ref="E166:E170"/>
    <mergeCell ref="E171:E175"/>
    <mergeCell ref="C176:F176"/>
    <mergeCell ref="C177:C181"/>
    <mergeCell ref="D177:D178"/>
    <mergeCell ref="E177:F177"/>
    <mergeCell ref="E178:F178"/>
    <mergeCell ref="D179:D181"/>
    <mergeCell ref="E179:F179"/>
    <mergeCell ref="D188:F188"/>
    <mergeCell ref="D189:E189"/>
    <mergeCell ref="D190:E190"/>
    <mergeCell ref="C191:F191"/>
    <mergeCell ref="C192:F192"/>
    <mergeCell ref="E180:F180"/>
    <mergeCell ref="E181:F181"/>
    <mergeCell ref="C182:F182"/>
    <mergeCell ref="D183:F183"/>
    <mergeCell ref="D184:F184"/>
    <mergeCell ref="C185:C190"/>
    <mergeCell ref="D185:D186"/>
    <mergeCell ref="E185:F185"/>
    <mergeCell ref="E186:F186"/>
    <mergeCell ref="E187:F18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C7" sqref="C7"/>
    </sheetView>
  </sheetViews>
  <sheetFormatPr defaultRowHeight="13.5"/>
  <cols>
    <col min="1" max="1" width="10.25" style="199" customWidth="1"/>
    <col min="2" max="2" width="18.25" style="199" customWidth="1"/>
    <col min="3" max="3" width="9.5" style="199" customWidth="1"/>
    <col min="4" max="4" width="15.375" style="202" customWidth="1"/>
    <col min="5" max="5" width="19.12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10" s="199" customFormat="1" ht="22.5">
      <c r="A1" s="1042" t="s">
        <v>764</v>
      </c>
      <c r="B1" s="1043"/>
      <c r="C1" s="1043"/>
      <c r="D1" s="1043"/>
      <c r="E1" s="1043"/>
      <c r="F1" s="1043"/>
      <c r="G1" s="1043"/>
      <c r="H1" s="1043"/>
      <c r="I1" s="1043"/>
    </row>
    <row r="2" spans="1:10" ht="30" customHeight="1">
      <c r="A2" s="200" t="s">
        <v>557</v>
      </c>
      <c r="B2" s="200" t="s">
        <v>595</v>
      </c>
      <c r="C2" s="200" t="s">
        <v>2086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10" ht="30" customHeight="1">
      <c r="A3" s="206" t="s">
        <v>2087</v>
      </c>
      <c r="B3" s="204" t="s">
        <v>2088</v>
      </c>
      <c r="C3" s="203" t="s">
        <v>780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>-G3*H3</f>
        <v>-100000</v>
      </c>
      <c r="J3" s="213" t="s">
        <v>2089</v>
      </c>
    </row>
    <row r="4" spans="1:10" ht="30" customHeight="1">
      <c r="A4" s="210"/>
      <c r="B4" s="204" t="s">
        <v>2090</v>
      </c>
      <c r="C4" s="203"/>
      <c r="D4" s="205"/>
      <c r="E4" s="205"/>
      <c r="F4" s="205"/>
      <c r="G4" s="206"/>
      <c r="H4" s="207"/>
      <c r="I4" s="207">
        <f>SUBTOTAL(9,I3:I3)</f>
        <v>-100000</v>
      </c>
    </row>
    <row r="5" spans="1:10" ht="15" customHeight="1"/>
    <row r="6" spans="1:10" ht="15" customHeight="1"/>
    <row r="7" spans="1:10" ht="15" customHeight="1"/>
    <row r="8" spans="1:10" ht="15" customHeight="1"/>
    <row r="9" spans="1:10" ht="15" customHeight="1"/>
    <row r="10" spans="1:10" ht="15" customHeight="1"/>
    <row r="11" spans="1:10" ht="15" customHeight="1"/>
    <row r="12" spans="1:10" ht="15" customHeight="1"/>
    <row r="13" spans="1:10" ht="15" customHeight="1"/>
    <row r="14" spans="1:10" ht="15" customHeight="1"/>
    <row r="15" spans="1:10" ht="15" customHeight="1"/>
    <row r="16" spans="1:10" ht="15" customHeight="1"/>
    <row r="17" ht="15" customHeight="1"/>
    <row r="18" ht="15" customHeight="1"/>
    <row r="19" ht="15" customHeight="1"/>
    <row r="20" ht="1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B5" sqref="B5"/>
    </sheetView>
  </sheetViews>
  <sheetFormatPr defaultRowHeight="13.5"/>
  <cols>
    <col min="2" max="2" width="17.75" customWidth="1"/>
    <col min="3" max="3" width="31.625" customWidth="1"/>
    <col min="4" max="4" width="12.125" customWidth="1"/>
    <col min="7" max="7" width="15.875" customWidth="1"/>
    <col min="8" max="8" width="15.125" customWidth="1"/>
    <col min="9" max="9" width="17.25" customWidth="1"/>
  </cols>
  <sheetData>
    <row r="1" spans="1:9" s="155" customFormat="1" ht="28.5" customHeight="1">
      <c r="A1" s="1109" t="s">
        <v>2080</v>
      </c>
      <c r="B1" s="1110"/>
      <c r="C1" s="1110"/>
      <c r="D1" s="1110"/>
      <c r="E1" s="1110"/>
      <c r="F1" s="1110"/>
      <c r="G1" s="1110"/>
      <c r="H1" s="1110"/>
      <c r="I1" s="1110"/>
    </row>
    <row r="2" spans="1:9" s="155" customFormat="1" ht="28.5" customHeight="1">
      <c r="A2" s="665" t="s">
        <v>2081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2084</v>
      </c>
      <c r="I2" s="666" t="s">
        <v>2085</v>
      </c>
    </row>
    <row r="3" spans="1:9" ht="30" customHeight="1">
      <c r="A3" s="662" t="s">
        <v>2074</v>
      </c>
      <c r="B3" s="663" t="s">
        <v>2075</v>
      </c>
      <c r="C3" s="264" t="s">
        <v>937</v>
      </c>
      <c r="D3" s="264" t="s">
        <v>2076</v>
      </c>
      <c r="E3" s="264" t="s">
        <v>2077</v>
      </c>
      <c r="F3" s="664">
        <v>1</v>
      </c>
      <c r="G3" s="668">
        <v>1500000</v>
      </c>
      <c r="H3" s="668">
        <v>1500000</v>
      </c>
      <c r="I3" s="663" t="s">
        <v>2078</v>
      </c>
    </row>
    <row r="4" spans="1:9" ht="30" customHeight="1">
      <c r="A4" s="662" t="s">
        <v>2074</v>
      </c>
      <c r="B4" s="663" t="s">
        <v>2075</v>
      </c>
      <c r="C4" s="264" t="s">
        <v>937</v>
      </c>
      <c r="D4" s="264" t="s">
        <v>2076</v>
      </c>
      <c r="E4" s="264" t="s">
        <v>2079</v>
      </c>
      <c r="F4" s="664">
        <v>1</v>
      </c>
      <c r="G4" s="668">
        <v>4000000</v>
      </c>
      <c r="H4" s="668">
        <f t="shared" ref="H4" si="0">F4*G4</f>
        <v>4000000</v>
      </c>
      <c r="I4" s="663" t="s">
        <v>2078</v>
      </c>
    </row>
    <row r="5" spans="1:9" ht="30" customHeight="1">
      <c r="A5" s="667"/>
      <c r="B5" s="662" t="s">
        <v>629</v>
      </c>
      <c r="C5" s="667"/>
      <c r="D5" s="667"/>
      <c r="E5" s="667"/>
      <c r="F5" s="667"/>
      <c r="G5" s="669"/>
      <c r="H5" s="668">
        <f>SUM(H3:H4)</f>
        <v>5500000</v>
      </c>
      <c r="I5" s="667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AQ120"/>
  <sheetViews>
    <sheetView topLeftCell="B91" workbookViewId="0">
      <selection activeCell="B4" sqref="B1:B1048576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7.625" style="137" hidden="1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1111" t="s">
        <v>2091</v>
      </c>
      <c r="B1" s="1112"/>
      <c r="C1" s="1112"/>
      <c r="D1" s="1112"/>
      <c r="E1" s="1112"/>
      <c r="F1" s="1112"/>
      <c r="G1" s="1112"/>
      <c r="H1" s="1112"/>
      <c r="I1" s="1112"/>
      <c r="J1" s="1112"/>
      <c r="K1" s="1112"/>
      <c r="L1" s="1112"/>
      <c r="M1" s="1112"/>
      <c r="N1" s="1112"/>
      <c r="O1" s="1112"/>
      <c r="P1" s="1112"/>
      <c r="Q1" s="1112"/>
      <c r="R1" s="1112"/>
      <c r="S1" s="1112"/>
      <c r="T1" s="1112"/>
      <c r="U1" s="1112"/>
      <c r="V1" s="1112"/>
      <c r="W1" s="1112"/>
      <c r="X1" s="1112"/>
      <c r="Y1" s="1112"/>
      <c r="Z1" s="1112"/>
      <c r="AA1" s="1112"/>
      <c r="AB1" s="1112"/>
      <c r="AC1" s="1112"/>
      <c r="AD1" s="1112"/>
      <c r="AE1" s="1112"/>
      <c r="AF1" s="1112"/>
      <c r="AG1" s="1112"/>
      <c r="AH1" s="1112"/>
      <c r="AI1" s="1112"/>
      <c r="AJ1" s="1112"/>
      <c r="AK1" s="1112"/>
      <c r="AL1" s="1112"/>
      <c r="AM1" s="1112"/>
      <c r="AN1" s="1112"/>
      <c r="AO1" s="1113"/>
      <c r="AP1" s="1113"/>
      <c r="AQ1" s="1113"/>
    </row>
    <row r="2" spans="1:43">
      <c r="A2" s="1114" t="s">
        <v>594</v>
      </c>
      <c r="B2" s="1114" t="s">
        <v>595</v>
      </c>
      <c r="C2" s="1114" t="s">
        <v>596</v>
      </c>
      <c r="D2" s="1114" t="s">
        <v>2092</v>
      </c>
      <c r="E2" s="1114" t="s">
        <v>597</v>
      </c>
      <c r="F2" s="1114"/>
      <c r="G2" s="1114"/>
      <c r="H2" s="1114"/>
      <c r="I2" s="1114"/>
      <c r="J2" s="1114" t="s">
        <v>2093</v>
      </c>
      <c r="K2" s="1114"/>
      <c r="L2" s="1114"/>
      <c r="M2" s="1114"/>
      <c r="N2" s="1114"/>
      <c r="O2" s="898" t="s">
        <v>2094</v>
      </c>
      <c r="P2" s="898"/>
      <c r="Q2" s="898"/>
      <c r="R2" s="898"/>
      <c r="S2" s="898"/>
      <c r="T2" s="898" t="s">
        <v>598</v>
      </c>
      <c r="U2" s="898"/>
      <c r="V2" s="898"/>
      <c r="W2" s="898"/>
      <c r="X2" s="898"/>
      <c r="Y2" s="898" t="s">
        <v>599</v>
      </c>
      <c r="Z2" s="898"/>
      <c r="AA2" s="898"/>
      <c r="AB2" s="898"/>
      <c r="AC2" s="898"/>
      <c r="AD2" s="1114" t="s">
        <v>2095</v>
      </c>
      <c r="AE2" s="1114"/>
      <c r="AF2" s="1114"/>
      <c r="AG2" s="1114"/>
      <c r="AH2" s="1114"/>
      <c r="AI2" s="1114"/>
      <c r="AJ2" s="1114"/>
      <c r="AK2" s="1114"/>
      <c r="AL2" s="1114"/>
      <c r="AM2" s="1114"/>
      <c r="AN2" s="1115">
        <v>0.6</v>
      </c>
      <c r="AO2" s="1117" t="s">
        <v>2096</v>
      </c>
      <c r="AP2" s="1118" t="s">
        <v>2163</v>
      </c>
      <c r="AQ2" s="1119" t="s">
        <v>2164</v>
      </c>
    </row>
    <row r="3" spans="1:43" ht="33.75">
      <c r="A3" s="1114"/>
      <c r="B3" s="1114"/>
      <c r="C3" s="1114"/>
      <c r="D3" s="1114"/>
      <c r="E3" s="671" t="s">
        <v>600</v>
      </c>
      <c r="F3" s="671" t="s">
        <v>601</v>
      </c>
      <c r="G3" s="671" t="s">
        <v>602</v>
      </c>
      <c r="H3" s="671" t="s">
        <v>603</v>
      </c>
      <c r="I3" s="670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670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670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670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670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2098</v>
      </c>
      <c r="AM3" s="670" t="s">
        <v>531</v>
      </c>
      <c r="AN3" s="1116"/>
      <c r="AO3" s="1116"/>
      <c r="AP3" s="1116"/>
      <c r="AQ3" s="1120"/>
    </row>
    <row r="4" spans="1:43" ht="15" customHeight="1">
      <c r="A4" s="141" t="s">
        <v>543</v>
      </c>
      <c r="B4" s="240" t="s">
        <v>385</v>
      </c>
      <c r="C4" s="240" t="s">
        <v>2099</v>
      </c>
      <c r="D4" s="672">
        <v>2</v>
      </c>
      <c r="E4" s="673">
        <v>3</v>
      </c>
      <c r="F4" s="673">
        <v>3</v>
      </c>
      <c r="G4" s="673">
        <v>23</v>
      </c>
      <c r="H4" s="673">
        <v>3</v>
      </c>
      <c r="I4" s="144">
        <f>SUM(E4:H4)</f>
        <v>32</v>
      </c>
      <c r="J4" s="674">
        <v>0</v>
      </c>
      <c r="K4" s="674">
        <v>0</v>
      </c>
      <c r="L4" s="674">
        <v>1</v>
      </c>
      <c r="M4" s="674">
        <v>0</v>
      </c>
      <c r="N4" s="144">
        <f>SUM(J4:M4)</f>
        <v>1</v>
      </c>
      <c r="O4" s="144">
        <f>E4+J4</f>
        <v>3</v>
      </c>
      <c r="P4" s="144">
        <f t="shared" ref="P4:R12" si="0">F4+K4</f>
        <v>3</v>
      </c>
      <c r="Q4" s="144">
        <f t="shared" si="0"/>
        <v>24</v>
      </c>
      <c r="R4" s="144">
        <f t="shared" si="0"/>
        <v>3</v>
      </c>
      <c r="S4" s="144">
        <f>SUM(O4:R4)</f>
        <v>33</v>
      </c>
      <c r="T4" s="674">
        <v>0</v>
      </c>
      <c r="U4" s="674">
        <v>2</v>
      </c>
      <c r="V4" s="674">
        <v>23.583333333333332</v>
      </c>
      <c r="W4" s="674">
        <v>3</v>
      </c>
      <c r="X4" s="144">
        <f>SUM(T4:W4)</f>
        <v>28.583333333333332</v>
      </c>
      <c r="Y4" s="674">
        <v>0</v>
      </c>
      <c r="Z4" s="674">
        <v>2</v>
      </c>
      <c r="AA4" s="674">
        <v>23.583333333333332</v>
      </c>
      <c r="AB4" s="674">
        <v>3</v>
      </c>
      <c r="AC4" s="144">
        <f>SUM(Y4:AB4)</f>
        <v>28.583333333333332</v>
      </c>
      <c r="AD4" s="144">
        <f>(Y4*6017+Z4*5250+AA4*5194+AB4*4250)*12</f>
        <v>1748901.9999999998</v>
      </c>
      <c r="AE4" s="144">
        <f>AC4*4320</f>
        <v>123480</v>
      </c>
      <c r="AF4" s="144">
        <f>AC4*6000</f>
        <v>171500</v>
      </c>
      <c r="AG4" s="144">
        <f>AC4*2400</f>
        <v>68600</v>
      </c>
      <c r="AH4" s="144">
        <f>AC4*8800</f>
        <v>251533.33333333331</v>
      </c>
      <c r="AI4" s="144">
        <f>AC4*800</f>
        <v>22866.666666666664</v>
      </c>
      <c r="AJ4" s="144">
        <f>D4*50*200</f>
        <v>20000</v>
      </c>
      <c r="AK4" s="144">
        <f>AC4*960</f>
        <v>27440</v>
      </c>
      <c r="AL4" s="144">
        <f>ROUND((AD4+AH4+AI4+AJ4)*0.35756,2)</f>
        <v>730603.06</v>
      </c>
      <c r="AM4" s="144">
        <f>SUM(AD4:AL4)</f>
        <v>3164925.06</v>
      </c>
      <c r="AN4" s="675">
        <f>ROUND(AM4*0.6,0)</f>
        <v>1898955</v>
      </c>
      <c r="AO4" s="675"/>
      <c r="AP4" s="675">
        <f>AN4+AO4</f>
        <v>1898955</v>
      </c>
      <c r="AQ4" s="675">
        <f>ROUND(AM4*0.2,0)</f>
        <v>632985</v>
      </c>
    </row>
    <row r="5" spans="1:43" ht="15" customHeight="1">
      <c r="A5" s="141" t="s">
        <v>543</v>
      </c>
      <c r="B5" s="240" t="s">
        <v>384</v>
      </c>
      <c r="C5" s="240" t="s">
        <v>2099</v>
      </c>
      <c r="D5" s="672">
        <v>2</v>
      </c>
      <c r="E5" s="673">
        <v>2</v>
      </c>
      <c r="F5" s="673">
        <v>2</v>
      </c>
      <c r="G5" s="673">
        <v>19</v>
      </c>
      <c r="H5" s="673">
        <v>3</v>
      </c>
      <c r="I5" s="144">
        <f t="shared" ref="I5:I70" si="1">SUM(E5:H5)</f>
        <v>26</v>
      </c>
      <c r="J5" s="674">
        <v>1</v>
      </c>
      <c r="K5" s="674">
        <v>1</v>
      </c>
      <c r="L5" s="674">
        <v>1</v>
      </c>
      <c r="M5" s="674">
        <v>1</v>
      </c>
      <c r="N5" s="144">
        <f t="shared" ref="N5:N12" si="2">SUM(J5:M5)</f>
        <v>4</v>
      </c>
      <c r="O5" s="144">
        <f t="shared" ref="O5:O12" si="3">E5+J5</f>
        <v>3</v>
      </c>
      <c r="P5" s="144">
        <f t="shared" si="0"/>
        <v>3</v>
      </c>
      <c r="Q5" s="144">
        <f t="shared" si="0"/>
        <v>20</v>
      </c>
      <c r="R5" s="144">
        <f t="shared" si="0"/>
        <v>4</v>
      </c>
      <c r="S5" s="144">
        <f t="shared" ref="S5:S12" si="4">SUM(O5:R5)</f>
        <v>30</v>
      </c>
      <c r="T5" s="674">
        <v>0.66666666666666663</v>
      </c>
      <c r="U5" s="674">
        <v>0.66666666666666663</v>
      </c>
      <c r="V5" s="674">
        <v>17.333333333333332</v>
      </c>
      <c r="W5" s="674">
        <v>2.3333333333333335</v>
      </c>
      <c r="X5" s="144">
        <f t="shared" ref="X5:X12" si="5">SUM(T5:W5)</f>
        <v>20.999999999999996</v>
      </c>
      <c r="Y5" s="674">
        <v>0.66666666666666663</v>
      </c>
      <c r="Z5" s="674">
        <v>0.66666666666666663</v>
      </c>
      <c r="AA5" s="674">
        <v>17.333333333333332</v>
      </c>
      <c r="AB5" s="674">
        <v>2.3333333333333335</v>
      </c>
      <c r="AC5" s="144">
        <f t="shared" ref="AC5:AC12" si="6">SUM(Y5:AB5)</f>
        <v>20.999999999999996</v>
      </c>
      <c r="AD5" s="144">
        <f t="shared" ref="AD5:AD69" si="7">(Y5*6017+Z5*5250+AA5*5194+AB5*4250)*12</f>
        <v>1289488</v>
      </c>
      <c r="AE5" s="144">
        <f t="shared" ref="AE5:AE69" si="8">AC5*4320</f>
        <v>90719.999999999985</v>
      </c>
      <c r="AF5" s="144">
        <f t="shared" ref="AF5:AF69" si="9">AC5*6000</f>
        <v>125999.99999999999</v>
      </c>
      <c r="AG5" s="144">
        <f t="shared" ref="AG5:AG69" si="10">AC5*2400</f>
        <v>50399.999999999993</v>
      </c>
      <c r="AH5" s="144">
        <f t="shared" ref="AH5:AH69" si="11">AC5*8800</f>
        <v>184799.99999999997</v>
      </c>
      <c r="AI5" s="144">
        <f t="shared" ref="AI5:AI69" si="12">AC5*800</f>
        <v>16799.999999999996</v>
      </c>
      <c r="AJ5" s="144">
        <f t="shared" ref="AJ5:AJ69" si="13">D5*50*200</f>
        <v>20000</v>
      </c>
      <c r="AK5" s="144">
        <f t="shared" ref="AK5:AK69" si="14">AC5*960</f>
        <v>20159.999999999996</v>
      </c>
      <c r="AL5" s="144">
        <f t="shared" ref="AL5:AL69" si="15">ROUND((AD5+AH5+AI5+AJ5)*0.35756,2)</f>
        <v>540304.63</v>
      </c>
      <c r="AM5" s="144">
        <f t="shared" ref="AM5:AM69" si="16">SUM(AD5:AL5)</f>
        <v>2338672.63</v>
      </c>
      <c r="AN5" s="675">
        <f t="shared" ref="AN5:AN68" si="17">ROUND(AM5*0.6,0)</f>
        <v>1403204</v>
      </c>
      <c r="AO5" s="675"/>
      <c r="AP5" s="675">
        <f t="shared" ref="AP5:AP68" si="18">AN5+AO5</f>
        <v>1403204</v>
      </c>
      <c r="AQ5" s="675">
        <f t="shared" ref="AQ5:AQ68" si="19">ROUND(AM5*0.2,0)</f>
        <v>467735</v>
      </c>
    </row>
    <row r="6" spans="1:43" ht="15" customHeight="1">
      <c r="A6" s="141" t="s">
        <v>543</v>
      </c>
      <c r="B6" s="240" t="s">
        <v>2100</v>
      </c>
      <c r="C6" s="240" t="s">
        <v>2099</v>
      </c>
      <c r="D6" s="672">
        <v>2</v>
      </c>
      <c r="E6" s="673">
        <v>3</v>
      </c>
      <c r="F6" s="673">
        <v>3</v>
      </c>
      <c r="G6" s="673">
        <v>24</v>
      </c>
      <c r="H6" s="673">
        <v>3</v>
      </c>
      <c r="I6" s="144">
        <f t="shared" si="1"/>
        <v>33</v>
      </c>
      <c r="J6" s="674">
        <v>1</v>
      </c>
      <c r="K6" s="674">
        <v>1</v>
      </c>
      <c r="L6" s="674">
        <v>0</v>
      </c>
      <c r="M6" s="674">
        <v>0</v>
      </c>
      <c r="N6" s="144">
        <f t="shared" si="2"/>
        <v>2</v>
      </c>
      <c r="O6" s="144">
        <f t="shared" si="3"/>
        <v>4</v>
      </c>
      <c r="P6" s="144">
        <f t="shared" si="0"/>
        <v>4</v>
      </c>
      <c r="Q6" s="144">
        <f t="shared" si="0"/>
        <v>24</v>
      </c>
      <c r="R6" s="144">
        <f t="shared" si="0"/>
        <v>3</v>
      </c>
      <c r="S6" s="144">
        <f t="shared" si="4"/>
        <v>35</v>
      </c>
      <c r="T6" s="674">
        <v>3</v>
      </c>
      <c r="U6" s="674">
        <v>4</v>
      </c>
      <c r="V6" s="674">
        <v>23.666666666666668</v>
      </c>
      <c r="W6" s="674">
        <v>3</v>
      </c>
      <c r="X6" s="144">
        <f t="shared" si="5"/>
        <v>33.666666666666671</v>
      </c>
      <c r="Y6" s="674">
        <v>3</v>
      </c>
      <c r="Z6" s="674">
        <v>4</v>
      </c>
      <c r="AA6" s="674">
        <v>23.666666666666668</v>
      </c>
      <c r="AB6" s="674">
        <v>3</v>
      </c>
      <c r="AC6" s="144">
        <f t="shared" si="6"/>
        <v>33.666666666666671</v>
      </c>
      <c r="AD6" s="144">
        <f t="shared" si="7"/>
        <v>2096708.0000000002</v>
      </c>
      <c r="AE6" s="144">
        <f t="shared" si="8"/>
        <v>145440.00000000003</v>
      </c>
      <c r="AF6" s="144">
        <f t="shared" si="9"/>
        <v>202000.00000000003</v>
      </c>
      <c r="AG6" s="144">
        <f t="shared" si="10"/>
        <v>80800.000000000015</v>
      </c>
      <c r="AH6" s="144">
        <f t="shared" si="11"/>
        <v>296266.66666666669</v>
      </c>
      <c r="AI6" s="144">
        <f t="shared" si="12"/>
        <v>26933.333333333336</v>
      </c>
      <c r="AJ6" s="144">
        <f t="shared" si="13"/>
        <v>20000</v>
      </c>
      <c r="AK6" s="144">
        <f t="shared" si="14"/>
        <v>32320.000000000004</v>
      </c>
      <c r="AL6" s="144">
        <f t="shared" si="15"/>
        <v>872413.5</v>
      </c>
      <c r="AM6" s="144">
        <f t="shared" si="16"/>
        <v>3772881.5000000005</v>
      </c>
      <c r="AN6" s="675">
        <f t="shared" si="17"/>
        <v>2263729</v>
      </c>
      <c r="AO6" s="675"/>
      <c r="AP6" s="675">
        <f t="shared" si="18"/>
        <v>2263729</v>
      </c>
      <c r="AQ6" s="675">
        <f t="shared" si="19"/>
        <v>754576</v>
      </c>
    </row>
    <row r="7" spans="1:43" ht="15" customHeight="1">
      <c r="A7" s="141" t="s">
        <v>543</v>
      </c>
      <c r="B7" s="240" t="s">
        <v>381</v>
      </c>
      <c r="C7" s="240" t="s">
        <v>2099</v>
      </c>
      <c r="D7" s="672">
        <v>2</v>
      </c>
      <c r="E7" s="673">
        <v>4</v>
      </c>
      <c r="F7" s="673">
        <v>3</v>
      </c>
      <c r="G7" s="673">
        <v>31</v>
      </c>
      <c r="H7" s="673">
        <v>3</v>
      </c>
      <c r="I7" s="144">
        <f t="shared" si="1"/>
        <v>41</v>
      </c>
      <c r="J7" s="674">
        <v>1</v>
      </c>
      <c r="K7" s="674">
        <v>0</v>
      </c>
      <c r="L7" s="674">
        <v>1</v>
      </c>
      <c r="M7" s="674">
        <v>0</v>
      </c>
      <c r="N7" s="144">
        <f t="shared" si="2"/>
        <v>2</v>
      </c>
      <c r="O7" s="144">
        <f t="shared" si="3"/>
        <v>5</v>
      </c>
      <c r="P7" s="144">
        <f t="shared" si="0"/>
        <v>3</v>
      </c>
      <c r="Q7" s="144">
        <f t="shared" si="0"/>
        <v>32</v>
      </c>
      <c r="R7" s="144">
        <f t="shared" si="0"/>
        <v>3</v>
      </c>
      <c r="S7" s="144">
        <f t="shared" si="4"/>
        <v>43</v>
      </c>
      <c r="T7" s="674">
        <v>5.583333333333333</v>
      </c>
      <c r="U7" s="674">
        <v>2.5833333333333335</v>
      </c>
      <c r="V7" s="674">
        <v>31.916666666666668</v>
      </c>
      <c r="W7" s="674">
        <v>4</v>
      </c>
      <c r="X7" s="144">
        <f t="shared" si="5"/>
        <v>44.083333333333336</v>
      </c>
      <c r="Y7" s="674">
        <v>5</v>
      </c>
      <c r="Z7" s="674">
        <v>3</v>
      </c>
      <c r="AA7" s="674">
        <v>32</v>
      </c>
      <c r="AB7" s="674">
        <v>3</v>
      </c>
      <c r="AC7" s="144">
        <f t="shared" si="6"/>
        <v>43</v>
      </c>
      <c r="AD7" s="144">
        <f t="shared" si="7"/>
        <v>2697516</v>
      </c>
      <c r="AE7" s="144">
        <f t="shared" si="8"/>
        <v>185760</v>
      </c>
      <c r="AF7" s="144">
        <f t="shared" si="9"/>
        <v>258000</v>
      </c>
      <c r="AG7" s="144">
        <f t="shared" si="10"/>
        <v>103200</v>
      </c>
      <c r="AH7" s="144">
        <f t="shared" si="11"/>
        <v>378400</v>
      </c>
      <c r="AI7" s="144">
        <f t="shared" si="12"/>
        <v>34400</v>
      </c>
      <c r="AJ7" s="144">
        <f t="shared" si="13"/>
        <v>20000</v>
      </c>
      <c r="AK7" s="144">
        <f t="shared" si="14"/>
        <v>41280</v>
      </c>
      <c r="AL7" s="144">
        <f t="shared" si="15"/>
        <v>1119275.79</v>
      </c>
      <c r="AM7" s="144">
        <f t="shared" si="16"/>
        <v>4837831.79</v>
      </c>
      <c r="AN7" s="675">
        <f t="shared" si="17"/>
        <v>2902699</v>
      </c>
      <c r="AO7" s="675"/>
      <c r="AP7" s="675">
        <f t="shared" si="18"/>
        <v>2902699</v>
      </c>
      <c r="AQ7" s="675">
        <f t="shared" si="19"/>
        <v>967566</v>
      </c>
    </row>
    <row r="8" spans="1:43" ht="15" customHeight="1">
      <c r="A8" s="141" t="s">
        <v>543</v>
      </c>
      <c r="B8" s="240" t="s">
        <v>380</v>
      </c>
      <c r="C8" s="240" t="s">
        <v>2101</v>
      </c>
      <c r="D8" s="672"/>
      <c r="E8" s="673">
        <v>3</v>
      </c>
      <c r="F8" s="673">
        <v>5</v>
      </c>
      <c r="G8" s="673">
        <v>0</v>
      </c>
      <c r="H8" s="673">
        <v>5.5</v>
      </c>
      <c r="I8" s="144">
        <f t="shared" si="1"/>
        <v>13.5</v>
      </c>
      <c r="J8" s="674">
        <v>6.75</v>
      </c>
      <c r="K8" s="674">
        <v>0</v>
      </c>
      <c r="L8" s="674">
        <v>0</v>
      </c>
      <c r="M8" s="674">
        <v>0</v>
      </c>
      <c r="N8" s="144">
        <f t="shared" si="2"/>
        <v>6.75</v>
      </c>
      <c r="O8" s="144">
        <f t="shared" si="3"/>
        <v>9.75</v>
      </c>
      <c r="P8" s="144">
        <f t="shared" si="0"/>
        <v>5</v>
      </c>
      <c r="Q8" s="144">
        <f t="shared" si="0"/>
        <v>0</v>
      </c>
      <c r="R8" s="144">
        <f t="shared" si="0"/>
        <v>5.5</v>
      </c>
      <c r="S8" s="144">
        <f t="shared" si="4"/>
        <v>20.25</v>
      </c>
      <c r="T8" s="674">
        <v>5.416666666666667</v>
      </c>
      <c r="U8" s="674">
        <v>2</v>
      </c>
      <c r="V8" s="674">
        <v>0</v>
      </c>
      <c r="W8" s="674">
        <v>1.5</v>
      </c>
      <c r="X8" s="144">
        <f t="shared" si="5"/>
        <v>8.9166666666666679</v>
      </c>
      <c r="Y8" s="674">
        <v>5.416666666666667</v>
      </c>
      <c r="Z8" s="674">
        <v>2</v>
      </c>
      <c r="AA8" s="674">
        <v>0</v>
      </c>
      <c r="AB8" s="674">
        <v>1.5</v>
      </c>
      <c r="AC8" s="144">
        <f t="shared" si="6"/>
        <v>8.9166666666666679</v>
      </c>
      <c r="AD8" s="144">
        <f t="shared" si="7"/>
        <v>593605</v>
      </c>
      <c r="AE8" s="144">
        <f t="shared" si="8"/>
        <v>38520.000000000007</v>
      </c>
      <c r="AF8" s="144">
        <f t="shared" si="9"/>
        <v>53500.000000000007</v>
      </c>
      <c r="AG8" s="144">
        <f t="shared" si="10"/>
        <v>21400.000000000004</v>
      </c>
      <c r="AH8" s="144">
        <f t="shared" si="11"/>
        <v>78466.666666666672</v>
      </c>
      <c r="AI8" s="144">
        <f t="shared" si="12"/>
        <v>7133.3333333333339</v>
      </c>
      <c r="AJ8" s="144">
        <f t="shared" si="13"/>
        <v>0</v>
      </c>
      <c r="AK8" s="144">
        <f t="shared" si="14"/>
        <v>8560.0000000000018</v>
      </c>
      <c r="AL8" s="144">
        <f t="shared" si="15"/>
        <v>242856.54</v>
      </c>
      <c r="AM8" s="144">
        <f t="shared" si="16"/>
        <v>1044041.54</v>
      </c>
      <c r="AN8" s="675">
        <f t="shared" si="17"/>
        <v>626425</v>
      </c>
      <c r="AO8" s="675"/>
      <c r="AP8" s="675">
        <f t="shared" si="18"/>
        <v>626425</v>
      </c>
      <c r="AQ8" s="675">
        <f t="shared" si="19"/>
        <v>208808</v>
      </c>
    </row>
    <row r="9" spans="1:43" ht="15" customHeight="1">
      <c r="A9" s="141" t="s">
        <v>543</v>
      </c>
      <c r="B9" s="240" t="s">
        <v>2102</v>
      </c>
      <c r="C9" s="240" t="s">
        <v>2101</v>
      </c>
      <c r="D9" s="672"/>
      <c r="E9" s="673">
        <v>0</v>
      </c>
      <c r="F9" s="673">
        <v>5</v>
      </c>
      <c r="G9" s="673">
        <v>0</v>
      </c>
      <c r="H9" s="673">
        <v>5.5</v>
      </c>
      <c r="I9" s="144">
        <f t="shared" si="1"/>
        <v>10.5</v>
      </c>
      <c r="J9" s="674">
        <v>4.666666666666667</v>
      </c>
      <c r="K9" s="674">
        <v>0.41666666666666669</v>
      </c>
      <c r="L9" s="674">
        <v>0</v>
      </c>
      <c r="M9" s="674">
        <v>0</v>
      </c>
      <c r="N9" s="144">
        <f t="shared" si="2"/>
        <v>5.0833333333333339</v>
      </c>
      <c r="O9" s="144">
        <f t="shared" si="3"/>
        <v>4.666666666666667</v>
      </c>
      <c r="P9" s="144">
        <f t="shared" si="0"/>
        <v>5.416666666666667</v>
      </c>
      <c r="Q9" s="144">
        <f t="shared" si="0"/>
        <v>0</v>
      </c>
      <c r="R9" s="144">
        <f t="shared" si="0"/>
        <v>5.5</v>
      </c>
      <c r="S9" s="144">
        <f t="shared" si="4"/>
        <v>15.583333333333334</v>
      </c>
      <c r="T9" s="674">
        <v>2.3333333333333335</v>
      </c>
      <c r="U9" s="674">
        <v>3</v>
      </c>
      <c r="V9" s="674">
        <v>0</v>
      </c>
      <c r="W9" s="674">
        <v>6</v>
      </c>
      <c r="X9" s="144">
        <f t="shared" si="5"/>
        <v>11.333333333333334</v>
      </c>
      <c r="Y9" s="674">
        <v>2.3333333333333335</v>
      </c>
      <c r="Z9" s="674">
        <v>3</v>
      </c>
      <c r="AA9" s="674">
        <v>0</v>
      </c>
      <c r="AB9" s="674">
        <v>6</v>
      </c>
      <c r="AC9" s="144">
        <f t="shared" si="6"/>
        <v>11.333333333333334</v>
      </c>
      <c r="AD9" s="144">
        <f t="shared" si="7"/>
        <v>663476</v>
      </c>
      <c r="AE9" s="144">
        <f t="shared" si="8"/>
        <v>48960</v>
      </c>
      <c r="AF9" s="144">
        <f t="shared" si="9"/>
        <v>68000</v>
      </c>
      <c r="AG9" s="144">
        <f t="shared" si="10"/>
        <v>27200</v>
      </c>
      <c r="AH9" s="144">
        <f t="shared" si="11"/>
        <v>99733.333333333343</v>
      </c>
      <c r="AI9" s="144">
        <f t="shared" si="12"/>
        <v>9066.6666666666679</v>
      </c>
      <c r="AJ9" s="144">
        <f t="shared" si="13"/>
        <v>0</v>
      </c>
      <c r="AK9" s="144">
        <f t="shared" si="14"/>
        <v>10880</v>
      </c>
      <c r="AL9" s="144">
        <f t="shared" si="15"/>
        <v>276135.01</v>
      </c>
      <c r="AM9" s="144">
        <f t="shared" si="16"/>
        <v>1203451.01</v>
      </c>
      <c r="AN9" s="675">
        <f t="shared" si="17"/>
        <v>722071</v>
      </c>
      <c r="AO9" s="675"/>
      <c r="AP9" s="675">
        <f t="shared" si="18"/>
        <v>722071</v>
      </c>
      <c r="AQ9" s="675">
        <f t="shared" si="19"/>
        <v>240690</v>
      </c>
    </row>
    <row r="10" spans="1:43" ht="15" customHeight="1">
      <c r="A10" s="141" t="s">
        <v>543</v>
      </c>
      <c r="B10" s="240" t="s">
        <v>375</v>
      </c>
      <c r="C10" s="240" t="s">
        <v>2101</v>
      </c>
      <c r="D10" s="672"/>
      <c r="E10" s="673">
        <v>0</v>
      </c>
      <c r="F10" s="673">
        <v>4</v>
      </c>
      <c r="G10" s="673">
        <v>0</v>
      </c>
      <c r="H10" s="673">
        <v>5</v>
      </c>
      <c r="I10" s="144">
        <f t="shared" si="1"/>
        <v>9</v>
      </c>
      <c r="J10" s="674">
        <v>0.33333333333333331</v>
      </c>
      <c r="K10" s="674">
        <v>1</v>
      </c>
      <c r="L10" s="674">
        <v>0</v>
      </c>
      <c r="M10" s="674">
        <v>0</v>
      </c>
      <c r="N10" s="144">
        <f t="shared" si="2"/>
        <v>1.3333333333333333</v>
      </c>
      <c r="O10" s="144">
        <f t="shared" si="3"/>
        <v>0.33333333333333331</v>
      </c>
      <c r="P10" s="144">
        <f t="shared" si="0"/>
        <v>5</v>
      </c>
      <c r="Q10" s="144">
        <f t="shared" si="0"/>
        <v>0</v>
      </c>
      <c r="R10" s="144">
        <f t="shared" si="0"/>
        <v>5</v>
      </c>
      <c r="S10" s="144">
        <f t="shared" si="4"/>
        <v>10.333333333333332</v>
      </c>
      <c r="T10" s="674">
        <v>0.33333333333333331</v>
      </c>
      <c r="U10" s="674">
        <v>3</v>
      </c>
      <c r="V10" s="674">
        <v>0</v>
      </c>
      <c r="W10" s="674">
        <v>3.5833333333333335</v>
      </c>
      <c r="X10" s="144">
        <f t="shared" si="5"/>
        <v>6.916666666666667</v>
      </c>
      <c r="Y10" s="674">
        <v>0.33333333333333331</v>
      </c>
      <c r="Z10" s="674">
        <v>3</v>
      </c>
      <c r="AA10" s="674">
        <v>0</v>
      </c>
      <c r="AB10" s="674">
        <v>3.5833333333333335</v>
      </c>
      <c r="AC10" s="144">
        <f t="shared" si="6"/>
        <v>6.916666666666667</v>
      </c>
      <c r="AD10" s="144">
        <f t="shared" si="7"/>
        <v>395818</v>
      </c>
      <c r="AE10" s="144">
        <f t="shared" si="8"/>
        <v>29880</v>
      </c>
      <c r="AF10" s="144">
        <f t="shared" si="9"/>
        <v>41500</v>
      </c>
      <c r="AG10" s="144">
        <f t="shared" si="10"/>
        <v>16600</v>
      </c>
      <c r="AH10" s="144">
        <f t="shared" si="11"/>
        <v>60866.666666666672</v>
      </c>
      <c r="AI10" s="144">
        <f t="shared" si="12"/>
        <v>5533.3333333333339</v>
      </c>
      <c r="AJ10" s="144">
        <f t="shared" si="13"/>
        <v>0</v>
      </c>
      <c r="AK10" s="144">
        <f t="shared" si="14"/>
        <v>6640</v>
      </c>
      <c r="AL10" s="144">
        <f t="shared" si="15"/>
        <v>165270.67000000001</v>
      </c>
      <c r="AM10" s="144">
        <f t="shared" si="16"/>
        <v>722108.67</v>
      </c>
      <c r="AN10" s="675">
        <f t="shared" si="17"/>
        <v>433265</v>
      </c>
      <c r="AO10" s="675"/>
      <c r="AP10" s="675">
        <f t="shared" si="18"/>
        <v>433265</v>
      </c>
      <c r="AQ10" s="675">
        <f t="shared" si="19"/>
        <v>144422</v>
      </c>
    </row>
    <row r="11" spans="1:43" ht="15" customHeight="1">
      <c r="A11" s="141" t="s">
        <v>543</v>
      </c>
      <c r="B11" s="240" t="s">
        <v>372</v>
      </c>
      <c r="C11" s="240" t="s">
        <v>2101</v>
      </c>
      <c r="D11" s="672"/>
      <c r="E11" s="673">
        <v>0</v>
      </c>
      <c r="F11" s="673">
        <v>4</v>
      </c>
      <c r="G11" s="673">
        <v>0</v>
      </c>
      <c r="H11" s="673">
        <v>5</v>
      </c>
      <c r="I11" s="144">
        <f t="shared" si="1"/>
        <v>9</v>
      </c>
      <c r="J11" s="674">
        <v>0</v>
      </c>
      <c r="K11" s="674">
        <v>0</v>
      </c>
      <c r="L11" s="674">
        <v>0</v>
      </c>
      <c r="M11" s="674">
        <v>0</v>
      </c>
      <c r="N11" s="144">
        <f t="shared" si="2"/>
        <v>0</v>
      </c>
      <c r="O11" s="144">
        <f t="shared" si="3"/>
        <v>0</v>
      </c>
      <c r="P11" s="144">
        <f t="shared" si="0"/>
        <v>4</v>
      </c>
      <c r="Q11" s="144">
        <f t="shared" si="0"/>
        <v>0</v>
      </c>
      <c r="R11" s="144">
        <f t="shared" si="0"/>
        <v>5</v>
      </c>
      <c r="S11" s="144">
        <f t="shared" si="4"/>
        <v>9</v>
      </c>
      <c r="T11" s="674">
        <v>1</v>
      </c>
      <c r="U11" s="674">
        <v>1.3333333333333333</v>
      </c>
      <c r="V11" s="674">
        <v>0</v>
      </c>
      <c r="W11" s="674">
        <v>8</v>
      </c>
      <c r="X11" s="144">
        <f t="shared" si="5"/>
        <v>10.333333333333332</v>
      </c>
      <c r="Y11" s="674">
        <v>0</v>
      </c>
      <c r="Z11" s="674">
        <v>4</v>
      </c>
      <c r="AA11" s="674">
        <v>0</v>
      </c>
      <c r="AB11" s="674">
        <v>5</v>
      </c>
      <c r="AC11" s="144">
        <f t="shared" si="6"/>
        <v>9</v>
      </c>
      <c r="AD11" s="144">
        <f t="shared" si="7"/>
        <v>507000</v>
      </c>
      <c r="AE11" s="144">
        <f t="shared" si="8"/>
        <v>38880</v>
      </c>
      <c r="AF11" s="144">
        <f t="shared" si="9"/>
        <v>54000</v>
      </c>
      <c r="AG11" s="144">
        <f t="shared" si="10"/>
        <v>21600</v>
      </c>
      <c r="AH11" s="144">
        <f t="shared" si="11"/>
        <v>79200</v>
      </c>
      <c r="AI11" s="144">
        <f t="shared" si="12"/>
        <v>7200</v>
      </c>
      <c r="AJ11" s="144">
        <f t="shared" si="13"/>
        <v>0</v>
      </c>
      <c r="AK11" s="144">
        <f t="shared" si="14"/>
        <v>8640</v>
      </c>
      <c r="AL11" s="144">
        <f t="shared" si="15"/>
        <v>212176.1</v>
      </c>
      <c r="AM11" s="144">
        <f t="shared" si="16"/>
        <v>928696.1</v>
      </c>
      <c r="AN11" s="675">
        <f t="shared" si="17"/>
        <v>557218</v>
      </c>
      <c r="AO11" s="675"/>
      <c r="AP11" s="675">
        <f t="shared" si="18"/>
        <v>557218</v>
      </c>
      <c r="AQ11" s="675">
        <f t="shared" si="19"/>
        <v>185739</v>
      </c>
    </row>
    <row r="12" spans="1:43" ht="15" customHeight="1">
      <c r="A12" s="141" t="s">
        <v>543</v>
      </c>
      <c r="B12" s="240" t="s">
        <v>376</v>
      </c>
      <c r="C12" s="240" t="s">
        <v>2101</v>
      </c>
      <c r="D12" s="672"/>
      <c r="E12" s="673">
        <v>0</v>
      </c>
      <c r="F12" s="673">
        <v>5</v>
      </c>
      <c r="G12" s="673">
        <v>0</v>
      </c>
      <c r="H12" s="673">
        <v>6</v>
      </c>
      <c r="I12" s="144">
        <f t="shared" si="1"/>
        <v>11</v>
      </c>
      <c r="J12" s="674">
        <v>1.5</v>
      </c>
      <c r="K12" s="673">
        <v>3</v>
      </c>
      <c r="L12" s="674">
        <v>0</v>
      </c>
      <c r="M12" s="674">
        <v>1.25</v>
      </c>
      <c r="N12" s="144">
        <f t="shared" si="2"/>
        <v>5.75</v>
      </c>
      <c r="O12" s="144">
        <f t="shared" si="3"/>
        <v>1.5</v>
      </c>
      <c r="P12" s="144">
        <f t="shared" si="0"/>
        <v>8</v>
      </c>
      <c r="Q12" s="144">
        <f t="shared" si="0"/>
        <v>0</v>
      </c>
      <c r="R12" s="144">
        <f t="shared" si="0"/>
        <v>7.25</v>
      </c>
      <c r="S12" s="144">
        <f t="shared" si="4"/>
        <v>16.75</v>
      </c>
      <c r="T12" s="674">
        <v>1.5833333333333333</v>
      </c>
      <c r="U12" s="673">
        <v>7.416666666666667</v>
      </c>
      <c r="V12" s="674">
        <v>0</v>
      </c>
      <c r="W12" s="674">
        <v>7.25</v>
      </c>
      <c r="X12" s="144">
        <f t="shared" si="5"/>
        <v>16.25</v>
      </c>
      <c r="Y12" s="674">
        <v>1.5833333333333333</v>
      </c>
      <c r="Z12" s="673">
        <v>7.416666666666667</v>
      </c>
      <c r="AA12" s="674">
        <v>0</v>
      </c>
      <c r="AB12" s="674">
        <v>7.25</v>
      </c>
      <c r="AC12" s="144">
        <f t="shared" si="6"/>
        <v>16.25</v>
      </c>
      <c r="AD12" s="144">
        <f t="shared" si="7"/>
        <v>951322.99999999988</v>
      </c>
      <c r="AE12" s="144">
        <f t="shared" si="8"/>
        <v>70200</v>
      </c>
      <c r="AF12" s="144">
        <f t="shared" si="9"/>
        <v>97500</v>
      </c>
      <c r="AG12" s="144">
        <f t="shared" si="10"/>
        <v>39000</v>
      </c>
      <c r="AH12" s="144">
        <f t="shared" si="11"/>
        <v>143000</v>
      </c>
      <c r="AI12" s="144">
        <f t="shared" si="12"/>
        <v>13000</v>
      </c>
      <c r="AJ12" s="144">
        <f t="shared" si="13"/>
        <v>0</v>
      </c>
      <c r="AK12" s="144">
        <f t="shared" si="14"/>
        <v>15600</v>
      </c>
      <c r="AL12" s="144">
        <f t="shared" si="15"/>
        <v>395934.41</v>
      </c>
      <c r="AM12" s="144">
        <f t="shared" si="16"/>
        <v>1725557.41</v>
      </c>
      <c r="AN12" s="675">
        <f t="shared" si="17"/>
        <v>1035334</v>
      </c>
      <c r="AO12" s="675"/>
      <c r="AP12" s="675">
        <f t="shared" si="18"/>
        <v>1035334</v>
      </c>
      <c r="AQ12" s="675">
        <f t="shared" si="19"/>
        <v>345111</v>
      </c>
    </row>
    <row r="13" spans="1:43" ht="15" customHeight="1">
      <c r="A13" s="676"/>
      <c r="B13" s="676" t="s">
        <v>2103</v>
      </c>
      <c r="C13" s="676"/>
      <c r="D13" s="146">
        <f>SUM(D4:D12)</f>
        <v>8</v>
      </c>
      <c r="E13" s="146">
        <f t="shared" ref="E13:AQ13" si="20">SUM(E4:E12)</f>
        <v>15</v>
      </c>
      <c r="F13" s="146">
        <f t="shared" si="20"/>
        <v>34</v>
      </c>
      <c r="G13" s="146">
        <f t="shared" si="20"/>
        <v>97</v>
      </c>
      <c r="H13" s="146">
        <f t="shared" si="20"/>
        <v>39</v>
      </c>
      <c r="I13" s="146">
        <f t="shared" si="20"/>
        <v>185</v>
      </c>
      <c r="J13" s="146">
        <v>14.750000000000002</v>
      </c>
      <c r="K13" s="146">
        <v>3.4166666666666665</v>
      </c>
      <c r="L13" s="146">
        <v>3</v>
      </c>
      <c r="M13" s="146">
        <v>2.166666666666667</v>
      </c>
      <c r="N13" s="146">
        <f t="shared" si="20"/>
        <v>27.916666666666668</v>
      </c>
      <c r="O13" s="146">
        <f t="shared" si="20"/>
        <v>31.25</v>
      </c>
      <c r="P13" s="146">
        <f t="shared" si="20"/>
        <v>40.416666666666671</v>
      </c>
      <c r="Q13" s="146">
        <f t="shared" si="20"/>
        <v>100</v>
      </c>
      <c r="R13" s="146">
        <f t="shared" si="20"/>
        <v>41.25</v>
      </c>
      <c r="S13" s="146">
        <f t="shared" si="20"/>
        <v>212.91666666666669</v>
      </c>
      <c r="T13" s="146">
        <f t="shared" si="20"/>
        <v>19.916666666666664</v>
      </c>
      <c r="U13" s="146">
        <f t="shared" si="20"/>
        <v>26</v>
      </c>
      <c r="V13" s="146">
        <f t="shared" si="20"/>
        <v>96.5</v>
      </c>
      <c r="W13" s="146">
        <f t="shared" si="20"/>
        <v>38.666666666666671</v>
      </c>
      <c r="X13" s="146">
        <f t="shared" si="20"/>
        <v>181.08333333333334</v>
      </c>
      <c r="Y13" s="146">
        <f t="shared" si="20"/>
        <v>18.333333333333329</v>
      </c>
      <c r="Z13" s="146">
        <f t="shared" si="20"/>
        <v>29.083333333333332</v>
      </c>
      <c r="AA13" s="146">
        <f t="shared" si="20"/>
        <v>96.583333333333329</v>
      </c>
      <c r="AB13" s="146">
        <f t="shared" si="20"/>
        <v>34.666666666666671</v>
      </c>
      <c r="AC13" s="146">
        <f t="shared" si="20"/>
        <v>178.66666666666666</v>
      </c>
      <c r="AD13" s="146">
        <f t="shared" si="20"/>
        <v>10943836</v>
      </c>
      <c r="AE13" s="146">
        <f t="shared" si="20"/>
        <v>771840</v>
      </c>
      <c r="AF13" s="146">
        <f t="shared" si="20"/>
        <v>1072000</v>
      </c>
      <c r="AG13" s="146">
        <f t="shared" si="20"/>
        <v>428800</v>
      </c>
      <c r="AH13" s="146">
        <f t="shared" si="20"/>
        <v>1572266.6666666667</v>
      </c>
      <c r="AI13" s="146">
        <f t="shared" si="20"/>
        <v>142933.33333333331</v>
      </c>
      <c r="AJ13" s="146">
        <f t="shared" si="20"/>
        <v>80000</v>
      </c>
      <c r="AK13" s="146">
        <f t="shared" si="20"/>
        <v>171520</v>
      </c>
      <c r="AL13" s="146">
        <f t="shared" si="20"/>
        <v>4554969.71</v>
      </c>
      <c r="AM13" s="146">
        <f t="shared" si="20"/>
        <v>19738165.710000001</v>
      </c>
      <c r="AN13" s="146">
        <f t="shared" si="20"/>
        <v>11842900</v>
      </c>
      <c r="AO13" s="146">
        <f t="shared" si="20"/>
        <v>0</v>
      </c>
      <c r="AP13" s="146">
        <f t="shared" si="20"/>
        <v>11842900</v>
      </c>
      <c r="AQ13" s="146">
        <f t="shared" si="20"/>
        <v>3947632</v>
      </c>
    </row>
    <row r="14" spans="1:43" ht="15" customHeight="1">
      <c r="A14" s="141" t="s">
        <v>541</v>
      </c>
      <c r="B14" s="240" t="s">
        <v>2104</v>
      </c>
      <c r="C14" s="240" t="s">
        <v>2099</v>
      </c>
      <c r="D14" s="672">
        <v>2</v>
      </c>
      <c r="E14" s="673">
        <v>3</v>
      </c>
      <c r="F14" s="673">
        <v>3</v>
      </c>
      <c r="G14" s="673">
        <v>25</v>
      </c>
      <c r="H14" s="673">
        <v>3</v>
      </c>
      <c r="I14" s="144">
        <f t="shared" si="1"/>
        <v>34</v>
      </c>
      <c r="J14" s="674">
        <v>3</v>
      </c>
      <c r="K14" s="674">
        <v>1</v>
      </c>
      <c r="L14" s="674">
        <v>0.41666666666666669</v>
      </c>
      <c r="M14" s="674">
        <v>0</v>
      </c>
      <c r="N14" s="144">
        <f t="shared" ref="N14:N70" si="21">SUM(J14:M14)</f>
        <v>4.416666666666667</v>
      </c>
      <c r="O14" s="144">
        <f>E14+J14</f>
        <v>6</v>
      </c>
      <c r="P14" s="144">
        <f t="shared" ref="P14:R20" si="22">F14+K14</f>
        <v>4</v>
      </c>
      <c r="Q14" s="144">
        <f t="shared" si="22"/>
        <v>25.416666666666668</v>
      </c>
      <c r="R14" s="144">
        <f t="shared" si="22"/>
        <v>3</v>
      </c>
      <c r="S14" s="144">
        <f t="shared" ref="S14:S70" si="23">SUM(O14:R14)</f>
        <v>38.416666666666671</v>
      </c>
      <c r="T14" s="672">
        <v>4.583333333333333</v>
      </c>
      <c r="U14" s="672">
        <v>5</v>
      </c>
      <c r="V14" s="672">
        <v>24.333333333333332</v>
      </c>
      <c r="W14" s="672">
        <v>1</v>
      </c>
      <c r="X14" s="144">
        <f t="shared" ref="X14:X70" si="24">SUM(T14:W14)</f>
        <v>34.916666666666664</v>
      </c>
      <c r="Y14" s="672">
        <v>4.583333333333333</v>
      </c>
      <c r="Z14" s="672">
        <v>5</v>
      </c>
      <c r="AA14" s="672">
        <v>24.333333333333332</v>
      </c>
      <c r="AB14" s="672">
        <v>1</v>
      </c>
      <c r="AC14" s="144">
        <f t="shared" ref="AC14:AC70" si="25">SUM(Y14:AB14)</f>
        <v>34.916666666666664</v>
      </c>
      <c r="AD14" s="144">
        <f t="shared" si="7"/>
        <v>2213583</v>
      </c>
      <c r="AE14" s="144">
        <f t="shared" si="8"/>
        <v>150840</v>
      </c>
      <c r="AF14" s="144">
        <f t="shared" si="9"/>
        <v>209500</v>
      </c>
      <c r="AG14" s="144">
        <f t="shared" si="10"/>
        <v>83800</v>
      </c>
      <c r="AH14" s="144">
        <f t="shared" si="11"/>
        <v>307266.66666666663</v>
      </c>
      <c r="AI14" s="144">
        <f t="shared" si="12"/>
        <v>27933.333333333332</v>
      </c>
      <c r="AJ14" s="144">
        <f t="shared" si="13"/>
        <v>20000</v>
      </c>
      <c r="AK14" s="144">
        <f t="shared" si="14"/>
        <v>33520</v>
      </c>
      <c r="AL14" s="144">
        <f t="shared" si="15"/>
        <v>918494.05</v>
      </c>
      <c r="AM14" s="144">
        <f t="shared" si="16"/>
        <v>3964937.05</v>
      </c>
      <c r="AN14" s="675">
        <f t="shared" si="17"/>
        <v>2378962</v>
      </c>
      <c r="AO14" s="675"/>
      <c r="AP14" s="675">
        <f t="shared" si="18"/>
        <v>2378962</v>
      </c>
      <c r="AQ14" s="675">
        <f t="shared" si="19"/>
        <v>792987</v>
      </c>
    </row>
    <row r="15" spans="1:43" ht="15" customHeight="1">
      <c r="A15" s="141" t="s">
        <v>541</v>
      </c>
      <c r="B15" s="240" t="s">
        <v>394</v>
      </c>
      <c r="C15" s="240" t="s">
        <v>2099</v>
      </c>
      <c r="D15" s="672">
        <v>1</v>
      </c>
      <c r="E15" s="673">
        <v>2</v>
      </c>
      <c r="F15" s="673">
        <v>2</v>
      </c>
      <c r="G15" s="673">
        <v>16</v>
      </c>
      <c r="H15" s="673">
        <v>3</v>
      </c>
      <c r="I15" s="144">
        <f t="shared" si="1"/>
        <v>23</v>
      </c>
      <c r="J15" s="674">
        <v>8.3333333333333329E-2</v>
      </c>
      <c r="K15" s="674">
        <v>0</v>
      </c>
      <c r="L15" s="674">
        <v>0</v>
      </c>
      <c r="M15" s="674">
        <v>0</v>
      </c>
      <c r="N15" s="144">
        <f t="shared" si="21"/>
        <v>8.3333333333333329E-2</v>
      </c>
      <c r="O15" s="144">
        <f t="shared" ref="O15:O20" si="26">E15+J15</f>
        <v>2.0833333333333335</v>
      </c>
      <c r="P15" s="144">
        <f t="shared" si="22"/>
        <v>2</v>
      </c>
      <c r="Q15" s="144">
        <f t="shared" si="22"/>
        <v>16</v>
      </c>
      <c r="R15" s="144">
        <f t="shared" si="22"/>
        <v>3</v>
      </c>
      <c r="S15" s="144">
        <f t="shared" si="23"/>
        <v>23.083333333333336</v>
      </c>
      <c r="T15" s="672">
        <v>1.3333333333333333</v>
      </c>
      <c r="U15" s="672">
        <v>2</v>
      </c>
      <c r="V15" s="672">
        <v>15.25</v>
      </c>
      <c r="W15" s="672">
        <v>2</v>
      </c>
      <c r="X15" s="144">
        <f t="shared" si="24"/>
        <v>20.583333333333332</v>
      </c>
      <c r="Y15" s="672">
        <v>1.3333333333333333</v>
      </c>
      <c r="Z15" s="672">
        <v>2</v>
      </c>
      <c r="AA15" s="672">
        <v>15.25</v>
      </c>
      <c r="AB15" s="672">
        <v>2</v>
      </c>
      <c r="AC15" s="144">
        <f t="shared" si="25"/>
        <v>20.583333333333332</v>
      </c>
      <c r="AD15" s="144">
        <f t="shared" si="7"/>
        <v>1274774</v>
      </c>
      <c r="AE15" s="144">
        <f t="shared" si="8"/>
        <v>88920</v>
      </c>
      <c r="AF15" s="144">
        <f t="shared" si="9"/>
        <v>123500</v>
      </c>
      <c r="AG15" s="144">
        <f t="shared" si="10"/>
        <v>49400</v>
      </c>
      <c r="AH15" s="144">
        <f t="shared" si="11"/>
        <v>181133.33333333331</v>
      </c>
      <c r="AI15" s="144">
        <f t="shared" si="12"/>
        <v>16466.666666666664</v>
      </c>
      <c r="AJ15" s="144">
        <f t="shared" si="13"/>
        <v>10000</v>
      </c>
      <c r="AK15" s="144">
        <f t="shared" si="14"/>
        <v>19760</v>
      </c>
      <c r="AL15" s="144">
        <f t="shared" si="15"/>
        <v>530037.65</v>
      </c>
      <c r="AM15" s="144">
        <f t="shared" si="16"/>
        <v>2293991.65</v>
      </c>
      <c r="AN15" s="675">
        <f t="shared" si="17"/>
        <v>1376395</v>
      </c>
      <c r="AO15" s="675"/>
      <c r="AP15" s="675">
        <f t="shared" si="18"/>
        <v>1376395</v>
      </c>
      <c r="AQ15" s="675">
        <f t="shared" si="19"/>
        <v>458798</v>
      </c>
    </row>
    <row r="16" spans="1:43" ht="15" customHeight="1">
      <c r="A16" s="141" t="s">
        <v>541</v>
      </c>
      <c r="B16" s="240" t="s">
        <v>2105</v>
      </c>
      <c r="C16" s="240" t="s">
        <v>2099</v>
      </c>
      <c r="D16" s="672">
        <v>2</v>
      </c>
      <c r="E16" s="673">
        <v>5</v>
      </c>
      <c r="F16" s="673">
        <v>3</v>
      </c>
      <c r="G16" s="673">
        <v>37</v>
      </c>
      <c r="H16" s="673">
        <v>4</v>
      </c>
      <c r="I16" s="144">
        <f t="shared" si="1"/>
        <v>49</v>
      </c>
      <c r="J16" s="674">
        <v>6.416666666666667</v>
      </c>
      <c r="K16" s="674">
        <v>0</v>
      </c>
      <c r="L16" s="674">
        <v>0</v>
      </c>
      <c r="M16" s="674">
        <v>0</v>
      </c>
      <c r="N16" s="144">
        <f t="shared" si="21"/>
        <v>6.416666666666667</v>
      </c>
      <c r="O16" s="144">
        <f t="shared" si="26"/>
        <v>11.416666666666668</v>
      </c>
      <c r="P16" s="144">
        <f t="shared" si="22"/>
        <v>3</v>
      </c>
      <c r="Q16" s="144">
        <f t="shared" si="22"/>
        <v>37</v>
      </c>
      <c r="R16" s="144">
        <f t="shared" si="22"/>
        <v>4</v>
      </c>
      <c r="S16" s="144">
        <f t="shared" si="23"/>
        <v>55.416666666666671</v>
      </c>
      <c r="T16" s="672">
        <v>10.25</v>
      </c>
      <c r="U16" s="672">
        <v>4.583333333333333</v>
      </c>
      <c r="V16" s="672">
        <v>37.083333333333336</v>
      </c>
      <c r="W16" s="672">
        <v>2</v>
      </c>
      <c r="X16" s="144">
        <f t="shared" si="24"/>
        <v>53.916666666666671</v>
      </c>
      <c r="Y16" s="672">
        <v>10.25</v>
      </c>
      <c r="Z16" s="672">
        <v>4.583333333333333</v>
      </c>
      <c r="AA16" s="672">
        <v>37.083333333333336</v>
      </c>
      <c r="AB16" s="672">
        <v>2</v>
      </c>
      <c r="AC16" s="144">
        <f t="shared" si="25"/>
        <v>53.916666666666671</v>
      </c>
      <c r="AD16" s="144">
        <f t="shared" si="7"/>
        <v>3442171.0000000005</v>
      </c>
      <c r="AE16" s="144">
        <f t="shared" si="8"/>
        <v>232920.00000000003</v>
      </c>
      <c r="AF16" s="144">
        <f t="shared" si="9"/>
        <v>323500</v>
      </c>
      <c r="AG16" s="144">
        <f t="shared" si="10"/>
        <v>129400.00000000001</v>
      </c>
      <c r="AH16" s="144">
        <f t="shared" si="11"/>
        <v>474466.66666666669</v>
      </c>
      <c r="AI16" s="144">
        <f t="shared" si="12"/>
        <v>43133.333333333336</v>
      </c>
      <c r="AJ16" s="144">
        <f t="shared" si="13"/>
        <v>20000</v>
      </c>
      <c r="AK16" s="144">
        <f t="shared" si="14"/>
        <v>51760.000000000007</v>
      </c>
      <c r="AL16" s="144">
        <f t="shared" si="15"/>
        <v>1423006.92</v>
      </c>
      <c r="AM16" s="144">
        <f t="shared" si="16"/>
        <v>6140357.9199999999</v>
      </c>
      <c r="AN16" s="675">
        <f t="shared" si="17"/>
        <v>3684215</v>
      </c>
      <c r="AO16" s="675"/>
      <c r="AP16" s="675">
        <f t="shared" si="18"/>
        <v>3684215</v>
      </c>
      <c r="AQ16" s="675">
        <f t="shared" si="19"/>
        <v>1228072</v>
      </c>
    </row>
    <row r="17" spans="1:43" ht="15" customHeight="1">
      <c r="A17" s="141" t="s">
        <v>541</v>
      </c>
      <c r="B17" s="240" t="s">
        <v>392</v>
      </c>
      <c r="C17" s="240" t="s">
        <v>2099</v>
      </c>
      <c r="D17" s="672">
        <v>2</v>
      </c>
      <c r="E17" s="673">
        <v>3</v>
      </c>
      <c r="F17" s="673">
        <v>3</v>
      </c>
      <c r="G17" s="673">
        <v>21</v>
      </c>
      <c r="H17" s="673">
        <v>3</v>
      </c>
      <c r="I17" s="144">
        <f t="shared" si="1"/>
        <v>30</v>
      </c>
      <c r="J17" s="674">
        <v>0.41666666666666669</v>
      </c>
      <c r="K17" s="674">
        <v>0</v>
      </c>
      <c r="L17" s="674">
        <v>0</v>
      </c>
      <c r="M17" s="674">
        <v>0</v>
      </c>
      <c r="N17" s="144">
        <f t="shared" si="21"/>
        <v>0.41666666666666669</v>
      </c>
      <c r="O17" s="144">
        <f t="shared" si="26"/>
        <v>3.4166666666666665</v>
      </c>
      <c r="P17" s="144">
        <f t="shared" si="22"/>
        <v>3</v>
      </c>
      <c r="Q17" s="144">
        <f t="shared" si="22"/>
        <v>21</v>
      </c>
      <c r="R17" s="144">
        <f t="shared" si="22"/>
        <v>3</v>
      </c>
      <c r="S17" s="144">
        <f t="shared" si="23"/>
        <v>30.416666666666664</v>
      </c>
      <c r="T17" s="672">
        <v>4</v>
      </c>
      <c r="U17" s="672">
        <v>2</v>
      </c>
      <c r="V17" s="672">
        <v>22.25</v>
      </c>
      <c r="W17" s="672">
        <v>2</v>
      </c>
      <c r="X17" s="144">
        <f t="shared" si="24"/>
        <v>30.25</v>
      </c>
      <c r="Y17" s="672">
        <v>4</v>
      </c>
      <c r="Z17" s="672">
        <v>2</v>
      </c>
      <c r="AA17" s="672">
        <v>22.25</v>
      </c>
      <c r="AB17" s="672">
        <v>2</v>
      </c>
      <c r="AC17" s="144">
        <f t="shared" si="25"/>
        <v>30.25</v>
      </c>
      <c r="AD17" s="144">
        <f t="shared" si="7"/>
        <v>1903614</v>
      </c>
      <c r="AE17" s="144">
        <f t="shared" si="8"/>
        <v>130680</v>
      </c>
      <c r="AF17" s="144">
        <f t="shared" si="9"/>
        <v>181500</v>
      </c>
      <c r="AG17" s="144">
        <f t="shared" si="10"/>
        <v>72600</v>
      </c>
      <c r="AH17" s="144">
        <f t="shared" si="11"/>
        <v>266200</v>
      </c>
      <c r="AI17" s="144">
        <f t="shared" si="12"/>
        <v>24200</v>
      </c>
      <c r="AJ17" s="144">
        <f t="shared" si="13"/>
        <v>20000</v>
      </c>
      <c r="AK17" s="144">
        <f t="shared" si="14"/>
        <v>29040</v>
      </c>
      <c r="AL17" s="144">
        <f t="shared" si="15"/>
        <v>791642.85</v>
      </c>
      <c r="AM17" s="144">
        <f t="shared" si="16"/>
        <v>3419476.85</v>
      </c>
      <c r="AN17" s="675">
        <f t="shared" si="17"/>
        <v>2051686</v>
      </c>
      <c r="AO17" s="675"/>
      <c r="AP17" s="675">
        <f t="shared" si="18"/>
        <v>2051686</v>
      </c>
      <c r="AQ17" s="675">
        <f t="shared" si="19"/>
        <v>683895</v>
      </c>
    </row>
    <row r="18" spans="1:43" ht="15" customHeight="1">
      <c r="A18" s="141" t="s">
        <v>541</v>
      </c>
      <c r="B18" s="240" t="s">
        <v>390</v>
      </c>
      <c r="C18" s="240" t="s">
        <v>2101</v>
      </c>
      <c r="D18" s="672"/>
      <c r="E18" s="673">
        <v>0</v>
      </c>
      <c r="F18" s="673">
        <v>6</v>
      </c>
      <c r="G18" s="673">
        <v>0</v>
      </c>
      <c r="H18" s="673">
        <v>9</v>
      </c>
      <c r="I18" s="144">
        <f t="shared" si="1"/>
        <v>15</v>
      </c>
      <c r="J18" s="674">
        <v>0.83333333333333337</v>
      </c>
      <c r="K18" s="674">
        <v>2</v>
      </c>
      <c r="L18" s="674">
        <v>0</v>
      </c>
      <c r="M18" s="674">
        <v>1</v>
      </c>
      <c r="N18" s="144">
        <f t="shared" si="21"/>
        <v>3.8333333333333335</v>
      </c>
      <c r="O18" s="144">
        <f t="shared" si="26"/>
        <v>0.83333333333333337</v>
      </c>
      <c r="P18" s="144">
        <f t="shared" si="22"/>
        <v>8</v>
      </c>
      <c r="Q18" s="144">
        <f t="shared" si="22"/>
        <v>0</v>
      </c>
      <c r="R18" s="144">
        <f t="shared" si="22"/>
        <v>10</v>
      </c>
      <c r="S18" s="144">
        <f t="shared" si="23"/>
        <v>18.833333333333336</v>
      </c>
      <c r="T18" s="672">
        <v>3.1666666666666665</v>
      </c>
      <c r="U18" s="672">
        <v>6.833333333333333</v>
      </c>
      <c r="V18" s="672">
        <v>0</v>
      </c>
      <c r="W18" s="672">
        <v>7.416666666666667</v>
      </c>
      <c r="X18" s="144">
        <f t="shared" si="24"/>
        <v>17.416666666666668</v>
      </c>
      <c r="Y18" s="672">
        <v>3.1666666666666665</v>
      </c>
      <c r="Z18" s="672">
        <v>6.833333333333333</v>
      </c>
      <c r="AA18" s="672">
        <v>0</v>
      </c>
      <c r="AB18" s="672">
        <v>7.416666666666667</v>
      </c>
      <c r="AC18" s="144">
        <f t="shared" si="25"/>
        <v>17.416666666666668</v>
      </c>
      <c r="AD18" s="144">
        <f t="shared" si="7"/>
        <v>1037395.9999999999</v>
      </c>
      <c r="AE18" s="144">
        <f t="shared" si="8"/>
        <v>75240</v>
      </c>
      <c r="AF18" s="144">
        <f t="shared" si="9"/>
        <v>104500</v>
      </c>
      <c r="AG18" s="144">
        <f t="shared" si="10"/>
        <v>41800</v>
      </c>
      <c r="AH18" s="144">
        <f t="shared" si="11"/>
        <v>153266.66666666669</v>
      </c>
      <c r="AI18" s="144">
        <f t="shared" si="12"/>
        <v>13933.333333333334</v>
      </c>
      <c r="AJ18" s="144">
        <f t="shared" si="13"/>
        <v>0</v>
      </c>
      <c r="AK18" s="144">
        <f t="shared" si="14"/>
        <v>16720</v>
      </c>
      <c r="AL18" s="144">
        <f t="shared" si="15"/>
        <v>430715.35</v>
      </c>
      <c r="AM18" s="144">
        <f t="shared" si="16"/>
        <v>1873571.35</v>
      </c>
      <c r="AN18" s="675">
        <f t="shared" si="17"/>
        <v>1124143</v>
      </c>
      <c r="AO18" s="675"/>
      <c r="AP18" s="675">
        <f t="shared" si="18"/>
        <v>1124143</v>
      </c>
      <c r="AQ18" s="675">
        <f t="shared" si="19"/>
        <v>374714</v>
      </c>
    </row>
    <row r="19" spans="1:43" ht="15" customHeight="1">
      <c r="A19" s="141" t="s">
        <v>541</v>
      </c>
      <c r="B19" s="240" t="s">
        <v>391</v>
      </c>
      <c r="C19" s="240" t="s">
        <v>2101</v>
      </c>
      <c r="D19" s="672"/>
      <c r="E19" s="673">
        <v>0</v>
      </c>
      <c r="F19" s="673">
        <v>6</v>
      </c>
      <c r="G19" s="673">
        <v>0</v>
      </c>
      <c r="H19" s="673">
        <v>9</v>
      </c>
      <c r="I19" s="144">
        <f t="shared" si="1"/>
        <v>15</v>
      </c>
      <c r="J19" s="674">
        <v>5</v>
      </c>
      <c r="K19" s="674">
        <v>0</v>
      </c>
      <c r="L19" s="674">
        <v>0</v>
      </c>
      <c r="M19" s="674">
        <v>0</v>
      </c>
      <c r="N19" s="144">
        <f t="shared" si="21"/>
        <v>5</v>
      </c>
      <c r="O19" s="144">
        <f t="shared" si="26"/>
        <v>5</v>
      </c>
      <c r="P19" s="144">
        <f t="shared" si="22"/>
        <v>6</v>
      </c>
      <c r="Q19" s="144">
        <f t="shared" si="22"/>
        <v>0</v>
      </c>
      <c r="R19" s="144">
        <f t="shared" si="22"/>
        <v>9</v>
      </c>
      <c r="S19" s="144">
        <f t="shared" si="23"/>
        <v>20</v>
      </c>
      <c r="T19" s="672">
        <v>5.75</v>
      </c>
      <c r="U19" s="672">
        <v>4.833333333333333</v>
      </c>
      <c r="V19" s="672">
        <v>0</v>
      </c>
      <c r="W19" s="672">
        <v>6.333333333333333</v>
      </c>
      <c r="X19" s="144">
        <f t="shared" si="24"/>
        <v>16.916666666666664</v>
      </c>
      <c r="Y19" s="672">
        <v>5.75</v>
      </c>
      <c r="Z19" s="672">
        <v>4.833333333333333</v>
      </c>
      <c r="AA19" s="672">
        <v>0</v>
      </c>
      <c r="AB19" s="672">
        <v>6.333333333333333</v>
      </c>
      <c r="AC19" s="144">
        <f t="shared" si="25"/>
        <v>16.916666666666664</v>
      </c>
      <c r="AD19" s="144">
        <f t="shared" si="7"/>
        <v>1042672.9999999999</v>
      </c>
      <c r="AE19" s="144">
        <f t="shared" si="8"/>
        <v>73079.999999999985</v>
      </c>
      <c r="AF19" s="144">
        <f t="shared" si="9"/>
        <v>101499.99999999999</v>
      </c>
      <c r="AG19" s="144">
        <f t="shared" si="10"/>
        <v>40599.999999999993</v>
      </c>
      <c r="AH19" s="144">
        <f t="shared" si="11"/>
        <v>148866.66666666666</v>
      </c>
      <c r="AI19" s="144">
        <f t="shared" si="12"/>
        <v>13533.333333333332</v>
      </c>
      <c r="AJ19" s="144">
        <f t="shared" si="13"/>
        <v>0</v>
      </c>
      <c r="AK19" s="144">
        <f t="shared" si="14"/>
        <v>16239.999999999998</v>
      </c>
      <c r="AL19" s="144">
        <f t="shared" si="15"/>
        <v>430885.9</v>
      </c>
      <c r="AM19" s="144">
        <f t="shared" si="16"/>
        <v>1867378.9</v>
      </c>
      <c r="AN19" s="675">
        <f t="shared" si="17"/>
        <v>1120427</v>
      </c>
      <c r="AO19" s="675"/>
      <c r="AP19" s="675">
        <f t="shared" si="18"/>
        <v>1120427</v>
      </c>
      <c r="AQ19" s="675">
        <f t="shared" si="19"/>
        <v>373476</v>
      </c>
    </row>
    <row r="20" spans="1:43" ht="15" customHeight="1">
      <c r="A20" s="141" t="s">
        <v>541</v>
      </c>
      <c r="B20" s="240" t="s">
        <v>884</v>
      </c>
      <c r="C20" s="240" t="s">
        <v>2101</v>
      </c>
      <c r="D20" s="672"/>
      <c r="E20" s="673">
        <v>0</v>
      </c>
      <c r="F20" s="673">
        <v>5</v>
      </c>
      <c r="G20" s="673">
        <v>0</v>
      </c>
      <c r="H20" s="673">
        <v>6</v>
      </c>
      <c r="I20" s="144">
        <f t="shared" si="1"/>
        <v>11</v>
      </c>
      <c r="J20" s="674">
        <v>0</v>
      </c>
      <c r="K20" s="674">
        <v>0</v>
      </c>
      <c r="L20" s="674">
        <v>0</v>
      </c>
      <c r="M20" s="674">
        <v>2</v>
      </c>
      <c r="N20" s="144">
        <f t="shared" si="21"/>
        <v>2</v>
      </c>
      <c r="O20" s="144">
        <f t="shared" si="26"/>
        <v>0</v>
      </c>
      <c r="P20" s="144">
        <f t="shared" si="22"/>
        <v>5</v>
      </c>
      <c r="Q20" s="144">
        <f t="shared" si="22"/>
        <v>0</v>
      </c>
      <c r="R20" s="144">
        <f t="shared" si="22"/>
        <v>8</v>
      </c>
      <c r="S20" s="144">
        <f t="shared" si="23"/>
        <v>13</v>
      </c>
      <c r="T20" s="672">
        <v>0</v>
      </c>
      <c r="U20" s="672">
        <v>5</v>
      </c>
      <c r="V20" s="672">
        <v>0</v>
      </c>
      <c r="W20" s="672">
        <v>8</v>
      </c>
      <c r="X20" s="144">
        <f t="shared" si="24"/>
        <v>13</v>
      </c>
      <c r="Y20" s="672">
        <v>0</v>
      </c>
      <c r="Z20" s="672">
        <v>5</v>
      </c>
      <c r="AA20" s="672">
        <v>0</v>
      </c>
      <c r="AB20" s="672">
        <v>8</v>
      </c>
      <c r="AC20" s="144">
        <f t="shared" si="25"/>
        <v>13</v>
      </c>
      <c r="AD20" s="144">
        <f t="shared" si="7"/>
        <v>723000</v>
      </c>
      <c r="AE20" s="144">
        <f t="shared" si="8"/>
        <v>56160</v>
      </c>
      <c r="AF20" s="144">
        <f t="shared" si="9"/>
        <v>78000</v>
      </c>
      <c r="AG20" s="144">
        <f t="shared" si="10"/>
        <v>31200</v>
      </c>
      <c r="AH20" s="144">
        <f t="shared" si="11"/>
        <v>114400</v>
      </c>
      <c r="AI20" s="144">
        <f t="shared" si="12"/>
        <v>10400</v>
      </c>
      <c r="AJ20" s="144">
        <f t="shared" si="13"/>
        <v>0</v>
      </c>
      <c r="AK20" s="144">
        <f t="shared" si="14"/>
        <v>12480</v>
      </c>
      <c r="AL20" s="144">
        <f t="shared" si="15"/>
        <v>303139.37</v>
      </c>
      <c r="AM20" s="144">
        <f t="shared" si="16"/>
        <v>1328779.3700000001</v>
      </c>
      <c r="AN20" s="675">
        <f t="shared" si="17"/>
        <v>797268</v>
      </c>
      <c r="AO20" s="675"/>
      <c r="AP20" s="675">
        <f t="shared" si="18"/>
        <v>797268</v>
      </c>
      <c r="AQ20" s="675">
        <f t="shared" si="19"/>
        <v>265756</v>
      </c>
    </row>
    <row r="21" spans="1:43" ht="15" customHeight="1">
      <c r="A21" s="676"/>
      <c r="B21" s="676" t="s">
        <v>2106</v>
      </c>
      <c r="C21" s="676"/>
      <c r="D21" s="146">
        <f>SUM(D14:D20)</f>
        <v>7</v>
      </c>
      <c r="E21" s="146">
        <f t="shared" ref="E21:AQ21" si="27">SUM(E14:E20)</f>
        <v>13</v>
      </c>
      <c r="F21" s="146">
        <f t="shared" si="27"/>
        <v>28</v>
      </c>
      <c r="G21" s="146">
        <f t="shared" si="27"/>
        <v>99</v>
      </c>
      <c r="H21" s="146">
        <f t="shared" si="27"/>
        <v>37</v>
      </c>
      <c r="I21" s="146">
        <f t="shared" si="27"/>
        <v>177</v>
      </c>
      <c r="J21" s="146">
        <f t="shared" si="27"/>
        <v>15.75</v>
      </c>
      <c r="K21" s="146">
        <f t="shared" si="27"/>
        <v>3</v>
      </c>
      <c r="L21" s="146">
        <f t="shared" si="27"/>
        <v>0.41666666666666669</v>
      </c>
      <c r="M21" s="146">
        <f t="shared" si="27"/>
        <v>3</v>
      </c>
      <c r="N21" s="146">
        <f t="shared" si="27"/>
        <v>22.166666666666668</v>
      </c>
      <c r="O21" s="146">
        <f t="shared" si="27"/>
        <v>28.75</v>
      </c>
      <c r="P21" s="146">
        <f t="shared" si="27"/>
        <v>31</v>
      </c>
      <c r="Q21" s="146">
        <f t="shared" si="27"/>
        <v>99.416666666666671</v>
      </c>
      <c r="R21" s="146">
        <f t="shared" si="27"/>
        <v>40</v>
      </c>
      <c r="S21" s="146">
        <f t="shared" si="27"/>
        <v>199.16666666666669</v>
      </c>
      <c r="T21" s="146">
        <f t="shared" si="27"/>
        <v>29.083333333333332</v>
      </c>
      <c r="U21" s="146">
        <f t="shared" si="27"/>
        <v>30.249999999999996</v>
      </c>
      <c r="V21" s="146">
        <f t="shared" si="27"/>
        <v>98.916666666666657</v>
      </c>
      <c r="W21" s="146">
        <f t="shared" si="27"/>
        <v>28.75</v>
      </c>
      <c r="X21" s="146">
        <f t="shared" si="27"/>
        <v>187</v>
      </c>
      <c r="Y21" s="146">
        <f t="shared" si="27"/>
        <v>29.083333333333332</v>
      </c>
      <c r="Z21" s="146">
        <f t="shared" si="27"/>
        <v>30.249999999999996</v>
      </c>
      <c r="AA21" s="146">
        <f t="shared" si="27"/>
        <v>98.916666666666657</v>
      </c>
      <c r="AB21" s="146">
        <f t="shared" si="27"/>
        <v>28.75</v>
      </c>
      <c r="AC21" s="146">
        <f t="shared" si="27"/>
        <v>187</v>
      </c>
      <c r="AD21" s="146">
        <f t="shared" si="27"/>
        <v>11637211</v>
      </c>
      <c r="AE21" s="146">
        <f t="shared" si="27"/>
        <v>807840</v>
      </c>
      <c r="AF21" s="146">
        <f t="shared" si="27"/>
        <v>1122000</v>
      </c>
      <c r="AG21" s="146">
        <f t="shared" si="27"/>
        <v>448800</v>
      </c>
      <c r="AH21" s="146">
        <f t="shared" si="27"/>
        <v>1645600</v>
      </c>
      <c r="AI21" s="146">
        <f t="shared" si="27"/>
        <v>149600</v>
      </c>
      <c r="AJ21" s="146">
        <f t="shared" si="27"/>
        <v>70000</v>
      </c>
      <c r="AK21" s="146">
        <f t="shared" si="27"/>
        <v>179520</v>
      </c>
      <c r="AL21" s="146">
        <f t="shared" si="27"/>
        <v>4827922.0900000008</v>
      </c>
      <c r="AM21" s="146">
        <f t="shared" si="27"/>
        <v>20888493.09</v>
      </c>
      <c r="AN21" s="146">
        <f t="shared" si="27"/>
        <v>12533096</v>
      </c>
      <c r="AO21" s="146">
        <f t="shared" si="27"/>
        <v>0</v>
      </c>
      <c r="AP21" s="146">
        <f t="shared" si="27"/>
        <v>12533096</v>
      </c>
      <c r="AQ21" s="146">
        <f t="shared" si="27"/>
        <v>4177698</v>
      </c>
    </row>
    <row r="22" spans="1:43" ht="15" customHeight="1">
      <c r="A22" s="141" t="s">
        <v>540</v>
      </c>
      <c r="B22" s="240" t="s">
        <v>2107</v>
      </c>
      <c r="C22" s="240" t="s">
        <v>2099</v>
      </c>
      <c r="D22" s="672">
        <v>1</v>
      </c>
      <c r="E22" s="165">
        <v>2</v>
      </c>
      <c r="F22" s="165">
        <v>2</v>
      </c>
      <c r="G22" s="165">
        <v>16</v>
      </c>
      <c r="H22" s="165">
        <v>3</v>
      </c>
      <c r="I22" s="144">
        <f t="shared" si="1"/>
        <v>23</v>
      </c>
      <c r="J22" s="672">
        <v>5.666666666666667</v>
      </c>
      <c r="K22" s="672">
        <v>0.41666666666666669</v>
      </c>
      <c r="L22" s="672">
        <v>0.41666666666666669</v>
      </c>
      <c r="M22" s="672">
        <v>0</v>
      </c>
      <c r="N22" s="144">
        <f t="shared" si="21"/>
        <v>6.5000000000000009</v>
      </c>
      <c r="O22" s="144">
        <f>E22+J22</f>
        <v>7.666666666666667</v>
      </c>
      <c r="P22" s="144">
        <f t="shared" ref="P22:R32" si="28">F22+K22</f>
        <v>2.4166666666666665</v>
      </c>
      <c r="Q22" s="144">
        <f t="shared" si="28"/>
        <v>16.416666666666668</v>
      </c>
      <c r="R22" s="144">
        <f t="shared" si="28"/>
        <v>3</v>
      </c>
      <c r="S22" s="144">
        <f t="shared" si="23"/>
        <v>29.5</v>
      </c>
      <c r="T22" s="672">
        <v>5.166666666666667</v>
      </c>
      <c r="U22" s="672">
        <v>1.5</v>
      </c>
      <c r="V22" s="672">
        <v>15.75</v>
      </c>
      <c r="W22" s="672">
        <v>1</v>
      </c>
      <c r="X22" s="144">
        <f t="shared" si="24"/>
        <v>23.416666666666668</v>
      </c>
      <c r="Y22" s="672">
        <v>5.166666666666667</v>
      </c>
      <c r="Z22" s="672">
        <v>1.5</v>
      </c>
      <c r="AA22" s="672">
        <v>15.75</v>
      </c>
      <c r="AB22" s="672">
        <v>1</v>
      </c>
      <c r="AC22" s="144">
        <f t="shared" si="25"/>
        <v>23.416666666666668</v>
      </c>
      <c r="AD22" s="144">
        <f t="shared" si="7"/>
        <v>1500220</v>
      </c>
      <c r="AE22" s="144">
        <f t="shared" si="8"/>
        <v>101160</v>
      </c>
      <c r="AF22" s="144">
        <f t="shared" si="9"/>
        <v>140500</v>
      </c>
      <c r="AG22" s="144">
        <f t="shared" si="10"/>
        <v>56200</v>
      </c>
      <c r="AH22" s="144">
        <f t="shared" si="11"/>
        <v>206066.66666666669</v>
      </c>
      <c r="AI22" s="144">
        <f t="shared" si="12"/>
        <v>18733.333333333336</v>
      </c>
      <c r="AJ22" s="144">
        <f t="shared" si="13"/>
        <v>10000</v>
      </c>
      <c r="AK22" s="144">
        <f t="shared" si="14"/>
        <v>22480</v>
      </c>
      <c r="AL22" s="144">
        <f t="shared" si="15"/>
        <v>620373.75</v>
      </c>
      <c r="AM22" s="144">
        <f t="shared" si="16"/>
        <v>2675733.75</v>
      </c>
      <c r="AN22" s="675">
        <f t="shared" si="17"/>
        <v>1605440</v>
      </c>
      <c r="AO22" s="675"/>
      <c r="AP22" s="675">
        <f t="shared" si="18"/>
        <v>1605440</v>
      </c>
      <c r="AQ22" s="675">
        <f t="shared" si="19"/>
        <v>535147</v>
      </c>
    </row>
    <row r="23" spans="1:43" ht="15" customHeight="1">
      <c r="A23" s="141" t="s">
        <v>540</v>
      </c>
      <c r="B23" s="240" t="s">
        <v>2108</v>
      </c>
      <c r="C23" s="240" t="s">
        <v>2099</v>
      </c>
      <c r="D23" s="672">
        <v>2</v>
      </c>
      <c r="E23" s="165">
        <v>4</v>
      </c>
      <c r="F23" s="165">
        <v>3</v>
      </c>
      <c r="G23" s="165">
        <v>32</v>
      </c>
      <c r="H23" s="165">
        <v>3</v>
      </c>
      <c r="I23" s="144">
        <f t="shared" si="1"/>
        <v>42</v>
      </c>
      <c r="J23" s="672">
        <v>3</v>
      </c>
      <c r="K23" s="672">
        <v>2</v>
      </c>
      <c r="L23" s="672">
        <v>5</v>
      </c>
      <c r="M23" s="672">
        <v>1</v>
      </c>
      <c r="N23" s="144">
        <f t="shared" si="21"/>
        <v>11</v>
      </c>
      <c r="O23" s="144">
        <f t="shared" ref="O23:O32" si="29">E23+J23</f>
        <v>7</v>
      </c>
      <c r="P23" s="144">
        <f t="shared" si="28"/>
        <v>5</v>
      </c>
      <c r="Q23" s="144">
        <f t="shared" si="28"/>
        <v>37</v>
      </c>
      <c r="R23" s="144">
        <f t="shared" si="28"/>
        <v>4</v>
      </c>
      <c r="S23" s="144">
        <f t="shared" si="23"/>
        <v>53</v>
      </c>
      <c r="T23" s="672">
        <v>10.833333333333334</v>
      </c>
      <c r="U23" s="672">
        <v>3</v>
      </c>
      <c r="V23" s="672">
        <v>32.333333333333336</v>
      </c>
      <c r="W23" s="672">
        <v>3</v>
      </c>
      <c r="X23" s="144">
        <f t="shared" si="24"/>
        <v>49.166666666666671</v>
      </c>
      <c r="Y23" s="672">
        <v>10.833333333333334</v>
      </c>
      <c r="Z23" s="672">
        <v>3</v>
      </c>
      <c r="AA23" s="672">
        <v>32.333333333333336</v>
      </c>
      <c r="AB23" s="672">
        <v>3</v>
      </c>
      <c r="AC23" s="144">
        <f t="shared" si="25"/>
        <v>49.166666666666671</v>
      </c>
      <c r="AD23" s="144">
        <f t="shared" si="7"/>
        <v>3139482</v>
      </c>
      <c r="AE23" s="144">
        <f t="shared" si="8"/>
        <v>212400.00000000003</v>
      </c>
      <c r="AF23" s="144">
        <f t="shared" si="9"/>
        <v>295000</v>
      </c>
      <c r="AG23" s="144">
        <f t="shared" si="10"/>
        <v>118000.00000000001</v>
      </c>
      <c r="AH23" s="144">
        <f t="shared" si="11"/>
        <v>432666.66666666669</v>
      </c>
      <c r="AI23" s="144">
        <f t="shared" si="12"/>
        <v>39333.333333333336</v>
      </c>
      <c r="AJ23" s="144">
        <f t="shared" si="13"/>
        <v>20000</v>
      </c>
      <c r="AK23" s="144">
        <f t="shared" si="14"/>
        <v>47200.000000000007</v>
      </c>
      <c r="AL23" s="144">
        <f t="shared" si="15"/>
        <v>1298472.7</v>
      </c>
      <c r="AM23" s="144">
        <f t="shared" si="16"/>
        <v>5602554.7000000002</v>
      </c>
      <c r="AN23" s="675">
        <f t="shared" si="17"/>
        <v>3361533</v>
      </c>
      <c r="AO23" s="675"/>
      <c r="AP23" s="675">
        <f t="shared" si="18"/>
        <v>3361533</v>
      </c>
      <c r="AQ23" s="675">
        <f t="shared" si="19"/>
        <v>1120511</v>
      </c>
    </row>
    <row r="24" spans="1:43" ht="15" customHeight="1">
      <c r="A24" s="141" t="s">
        <v>540</v>
      </c>
      <c r="B24" s="240" t="s">
        <v>2109</v>
      </c>
      <c r="C24" s="240" t="s">
        <v>2099</v>
      </c>
      <c r="D24" s="672">
        <v>1</v>
      </c>
      <c r="E24" s="165">
        <v>3</v>
      </c>
      <c r="F24" s="165">
        <v>2</v>
      </c>
      <c r="G24" s="165">
        <v>20</v>
      </c>
      <c r="H24" s="165">
        <v>3</v>
      </c>
      <c r="I24" s="144">
        <f t="shared" si="1"/>
        <v>28</v>
      </c>
      <c r="J24" s="672">
        <v>13</v>
      </c>
      <c r="K24" s="672">
        <v>0.66666666666666663</v>
      </c>
      <c r="L24" s="672">
        <v>1.75</v>
      </c>
      <c r="M24" s="672">
        <v>1</v>
      </c>
      <c r="N24" s="144">
        <f t="shared" si="21"/>
        <v>16.416666666666664</v>
      </c>
      <c r="O24" s="144">
        <f t="shared" si="29"/>
        <v>16</v>
      </c>
      <c r="P24" s="144">
        <f t="shared" si="28"/>
        <v>2.6666666666666665</v>
      </c>
      <c r="Q24" s="144">
        <f t="shared" si="28"/>
        <v>21.75</v>
      </c>
      <c r="R24" s="144">
        <f t="shared" si="28"/>
        <v>4</v>
      </c>
      <c r="S24" s="144">
        <f t="shared" si="23"/>
        <v>44.416666666666671</v>
      </c>
      <c r="T24" s="672">
        <v>9.5833333333333339</v>
      </c>
      <c r="U24" s="672">
        <v>4.333333333333333</v>
      </c>
      <c r="V24" s="672">
        <v>19.833333333333332</v>
      </c>
      <c r="W24" s="672">
        <v>1.9166666666666667</v>
      </c>
      <c r="X24" s="144">
        <f t="shared" si="24"/>
        <v>35.666666666666664</v>
      </c>
      <c r="Y24" s="672">
        <v>9.5833333333333339</v>
      </c>
      <c r="Z24" s="672">
        <v>4.333333333333333</v>
      </c>
      <c r="AA24" s="672">
        <v>19.833333333333332</v>
      </c>
      <c r="AB24" s="672">
        <v>1.9166666666666667</v>
      </c>
      <c r="AC24" s="144">
        <f t="shared" si="25"/>
        <v>35.666666666666664</v>
      </c>
      <c r="AD24" s="144">
        <f t="shared" si="7"/>
        <v>2298877</v>
      </c>
      <c r="AE24" s="144">
        <f t="shared" si="8"/>
        <v>154080</v>
      </c>
      <c r="AF24" s="144">
        <f t="shared" si="9"/>
        <v>214000</v>
      </c>
      <c r="AG24" s="144">
        <f t="shared" si="10"/>
        <v>85600</v>
      </c>
      <c r="AH24" s="144">
        <f t="shared" si="11"/>
        <v>313866.66666666663</v>
      </c>
      <c r="AI24" s="144">
        <f t="shared" si="12"/>
        <v>28533.333333333332</v>
      </c>
      <c r="AJ24" s="144">
        <f t="shared" si="13"/>
        <v>10000</v>
      </c>
      <c r="AK24" s="144">
        <f t="shared" si="14"/>
        <v>34240</v>
      </c>
      <c r="AL24" s="144">
        <f t="shared" si="15"/>
        <v>947990.6</v>
      </c>
      <c r="AM24" s="144">
        <f t="shared" si="16"/>
        <v>4087187.6</v>
      </c>
      <c r="AN24" s="675">
        <f t="shared" si="17"/>
        <v>2452313</v>
      </c>
      <c r="AO24" s="675"/>
      <c r="AP24" s="675">
        <f t="shared" si="18"/>
        <v>2452313</v>
      </c>
      <c r="AQ24" s="675">
        <f t="shared" si="19"/>
        <v>817438</v>
      </c>
    </row>
    <row r="25" spans="1:43" ht="15" customHeight="1">
      <c r="A25" s="141" t="s">
        <v>540</v>
      </c>
      <c r="B25" s="240" t="s">
        <v>1629</v>
      </c>
      <c r="C25" s="240" t="s">
        <v>2099</v>
      </c>
      <c r="D25" s="672">
        <v>1</v>
      </c>
      <c r="E25" s="165">
        <v>2</v>
      </c>
      <c r="F25" s="165">
        <v>2</v>
      </c>
      <c r="G25" s="165">
        <v>13</v>
      </c>
      <c r="H25" s="165">
        <v>2</v>
      </c>
      <c r="I25" s="144">
        <f t="shared" si="1"/>
        <v>19</v>
      </c>
      <c r="J25" s="672">
        <v>2</v>
      </c>
      <c r="K25" s="672">
        <v>0</v>
      </c>
      <c r="L25" s="672">
        <v>0.33333333333333331</v>
      </c>
      <c r="M25" s="672">
        <v>0</v>
      </c>
      <c r="N25" s="144">
        <f t="shared" si="21"/>
        <v>2.3333333333333335</v>
      </c>
      <c r="O25" s="144">
        <f t="shared" si="29"/>
        <v>4</v>
      </c>
      <c r="P25" s="144">
        <f t="shared" si="28"/>
        <v>2</v>
      </c>
      <c r="Q25" s="144">
        <f t="shared" si="28"/>
        <v>13.333333333333334</v>
      </c>
      <c r="R25" s="144">
        <f t="shared" si="28"/>
        <v>2</v>
      </c>
      <c r="S25" s="144">
        <f t="shared" si="23"/>
        <v>21.333333333333336</v>
      </c>
      <c r="T25" s="672">
        <v>4.083333333333333</v>
      </c>
      <c r="U25" s="672">
        <v>2</v>
      </c>
      <c r="V25" s="672">
        <v>13.666666666666666</v>
      </c>
      <c r="W25" s="672">
        <v>1</v>
      </c>
      <c r="X25" s="144">
        <f t="shared" si="24"/>
        <v>20.75</v>
      </c>
      <c r="Y25" s="672">
        <v>4.083333333333333</v>
      </c>
      <c r="Z25" s="672">
        <v>2</v>
      </c>
      <c r="AA25" s="672">
        <v>13.666666666666666</v>
      </c>
      <c r="AB25" s="672">
        <v>1</v>
      </c>
      <c r="AC25" s="144">
        <f t="shared" si="25"/>
        <v>20.75</v>
      </c>
      <c r="AD25" s="144">
        <f t="shared" si="7"/>
        <v>1323648.9999999998</v>
      </c>
      <c r="AE25" s="144">
        <f t="shared" si="8"/>
        <v>89640</v>
      </c>
      <c r="AF25" s="144">
        <f t="shared" si="9"/>
        <v>124500</v>
      </c>
      <c r="AG25" s="144">
        <f t="shared" si="10"/>
        <v>49800</v>
      </c>
      <c r="AH25" s="144">
        <f t="shared" si="11"/>
        <v>182600</v>
      </c>
      <c r="AI25" s="144">
        <f t="shared" si="12"/>
        <v>16600</v>
      </c>
      <c r="AJ25" s="144">
        <f t="shared" si="13"/>
        <v>10000</v>
      </c>
      <c r="AK25" s="144">
        <f t="shared" si="14"/>
        <v>19920</v>
      </c>
      <c r="AL25" s="144">
        <f t="shared" si="15"/>
        <v>548085.49</v>
      </c>
      <c r="AM25" s="144">
        <f t="shared" si="16"/>
        <v>2364794.4899999998</v>
      </c>
      <c r="AN25" s="675">
        <f t="shared" si="17"/>
        <v>1418877</v>
      </c>
      <c r="AO25" s="675"/>
      <c r="AP25" s="675">
        <f t="shared" si="18"/>
        <v>1418877</v>
      </c>
      <c r="AQ25" s="675">
        <f t="shared" si="19"/>
        <v>472959</v>
      </c>
    </row>
    <row r="26" spans="1:43" ht="15" customHeight="1">
      <c r="A26" s="141" t="s">
        <v>540</v>
      </c>
      <c r="B26" s="240" t="s">
        <v>403</v>
      </c>
      <c r="C26" s="240" t="s">
        <v>2099</v>
      </c>
      <c r="D26" s="672">
        <v>1</v>
      </c>
      <c r="E26" s="165">
        <v>2</v>
      </c>
      <c r="F26" s="165">
        <v>2</v>
      </c>
      <c r="G26" s="165">
        <v>16</v>
      </c>
      <c r="H26" s="165">
        <v>3</v>
      </c>
      <c r="I26" s="144">
        <f t="shared" si="1"/>
        <v>23</v>
      </c>
      <c r="J26" s="672">
        <v>1</v>
      </c>
      <c r="K26" s="672">
        <v>0</v>
      </c>
      <c r="L26" s="672">
        <v>0</v>
      </c>
      <c r="M26" s="672">
        <v>0</v>
      </c>
      <c r="N26" s="144">
        <f t="shared" si="21"/>
        <v>1</v>
      </c>
      <c r="O26" s="144">
        <f t="shared" si="29"/>
        <v>3</v>
      </c>
      <c r="P26" s="144">
        <f t="shared" si="28"/>
        <v>2</v>
      </c>
      <c r="Q26" s="144">
        <f t="shared" si="28"/>
        <v>16</v>
      </c>
      <c r="R26" s="144">
        <f t="shared" si="28"/>
        <v>3</v>
      </c>
      <c r="S26" s="144">
        <f t="shared" si="23"/>
        <v>24</v>
      </c>
      <c r="T26" s="672">
        <v>1.5</v>
      </c>
      <c r="U26" s="672">
        <v>2</v>
      </c>
      <c r="V26" s="672">
        <v>15.75</v>
      </c>
      <c r="W26" s="672">
        <v>1</v>
      </c>
      <c r="X26" s="144">
        <f t="shared" si="24"/>
        <v>20.25</v>
      </c>
      <c r="Y26" s="672">
        <v>1.5</v>
      </c>
      <c r="Z26" s="672">
        <v>2</v>
      </c>
      <c r="AA26" s="672">
        <v>15.75</v>
      </c>
      <c r="AB26" s="672">
        <v>1</v>
      </c>
      <c r="AC26" s="144">
        <f t="shared" si="25"/>
        <v>20.25</v>
      </c>
      <c r="AD26" s="144">
        <f t="shared" si="7"/>
        <v>1266972</v>
      </c>
      <c r="AE26" s="144">
        <f t="shared" si="8"/>
        <v>87480</v>
      </c>
      <c r="AF26" s="144">
        <f t="shared" si="9"/>
        <v>121500</v>
      </c>
      <c r="AG26" s="144">
        <f t="shared" si="10"/>
        <v>48600</v>
      </c>
      <c r="AH26" s="144">
        <f t="shared" si="11"/>
        <v>178200</v>
      </c>
      <c r="AI26" s="144">
        <f t="shared" si="12"/>
        <v>16200</v>
      </c>
      <c r="AJ26" s="144">
        <f t="shared" si="13"/>
        <v>10000</v>
      </c>
      <c r="AK26" s="144">
        <f t="shared" si="14"/>
        <v>19440</v>
      </c>
      <c r="AL26" s="144">
        <f t="shared" si="15"/>
        <v>526103.77</v>
      </c>
      <c r="AM26" s="144">
        <f t="shared" si="16"/>
        <v>2274495.77</v>
      </c>
      <c r="AN26" s="675">
        <f t="shared" si="17"/>
        <v>1364697</v>
      </c>
      <c r="AO26" s="675"/>
      <c r="AP26" s="675">
        <f t="shared" si="18"/>
        <v>1364697</v>
      </c>
      <c r="AQ26" s="675">
        <f t="shared" si="19"/>
        <v>454899</v>
      </c>
    </row>
    <row r="27" spans="1:43" ht="15" customHeight="1">
      <c r="A27" s="141" t="s">
        <v>540</v>
      </c>
      <c r="B27" s="240" t="s">
        <v>2110</v>
      </c>
      <c r="C27" s="240" t="s">
        <v>2101</v>
      </c>
      <c r="D27" s="672"/>
      <c r="E27" s="165">
        <v>0</v>
      </c>
      <c r="F27" s="165">
        <v>5</v>
      </c>
      <c r="G27" s="165">
        <v>0</v>
      </c>
      <c r="H27" s="165">
        <v>6</v>
      </c>
      <c r="I27" s="144">
        <f t="shared" si="1"/>
        <v>11</v>
      </c>
      <c r="J27" s="672">
        <v>11</v>
      </c>
      <c r="K27" s="672">
        <v>0.41666666666666669</v>
      </c>
      <c r="L27" s="672">
        <v>0</v>
      </c>
      <c r="M27" s="672">
        <v>0</v>
      </c>
      <c r="N27" s="144">
        <f t="shared" si="21"/>
        <v>11.416666666666666</v>
      </c>
      <c r="O27" s="144">
        <f t="shared" si="29"/>
        <v>11</v>
      </c>
      <c r="P27" s="144">
        <f t="shared" si="28"/>
        <v>5.416666666666667</v>
      </c>
      <c r="Q27" s="144">
        <f t="shared" si="28"/>
        <v>0</v>
      </c>
      <c r="R27" s="144">
        <f t="shared" si="28"/>
        <v>6</v>
      </c>
      <c r="S27" s="144">
        <f t="shared" si="23"/>
        <v>22.416666666666668</v>
      </c>
      <c r="T27" s="672">
        <v>5</v>
      </c>
      <c r="U27" s="672">
        <v>2</v>
      </c>
      <c r="V27" s="672">
        <v>0</v>
      </c>
      <c r="W27" s="672">
        <v>8.75</v>
      </c>
      <c r="X27" s="144">
        <f t="shared" si="24"/>
        <v>15.75</v>
      </c>
      <c r="Y27" s="672">
        <v>5</v>
      </c>
      <c r="Z27" s="672">
        <v>2</v>
      </c>
      <c r="AA27" s="672">
        <v>0</v>
      </c>
      <c r="AB27" s="672">
        <v>8.75</v>
      </c>
      <c r="AC27" s="144">
        <f t="shared" si="25"/>
        <v>15.75</v>
      </c>
      <c r="AD27" s="144">
        <f t="shared" si="7"/>
        <v>933270</v>
      </c>
      <c r="AE27" s="144">
        <f t="shared" si="8"/>
        <v>68040</v>
      </c>
      <c r="AF27" s="144">
        <f t="shared" si="9"/>
        <v>94500</v>
      </c>
      <c r="AG27" s="144">
        <f t="shared" si="10"/>
        <v>37800</v>
      </c>
      <c r="AH27" s="144">
        <f t="shared" si="11"/>
        <v>138600</v>
      </c>
      <c r="AI27" s="144">
        <f t="shared" si="12"/>
        <v>12600</v>
      </c>
      <c r="AJ27" s="144">
        <f t="shared" si="13"/>
        <v>0</v>
      </c>
      <c r="AK27" s="144">
        <f t="shared" si="14"/>
        <v>15120</v>
      </c>
      <c r="AL27" s="144">
        <f t="shared" si="15"/>
        <v>387763.09</v>
      </c>
      <c r="AM27" s="144">
        <f t="shared" si="16"/>
        <v>1687693.09</v>
      </c>
      <c r="AN27" s="675">
        <f t="shared" si="17"/>
        <v>1012616</v>
      </c>
      <c r="AO27" s="675"/>
      <c r="AP27" s="675">
        <f t="shared" si="18"/>
        <v>1012616</v>
      </c>
      <c r="AQ27" s="675">
        <f t="shared" si="19"/>
        <v>337539</v>
      </c>
    </row>
    <row r="28" spans="1:43" ht="15" customHeight="1">
      <c r="A28" s="141" t="s">
        <v>540</v>
      </c>
      <c r="B28" s="240" t="s">
        <v>889</v>
      </c>
      <c r="C28" s="240" t="s">
        <v>2101</v>
      </c>
      <c r="D28" s="672"/>
      <c r="E28" s="165">
        <v>10</v>
      </c>
      <c r="F28" s="165">
        <v>6</v>
      </c>
      <c r="G28" s="165">
        <v>0</v>
      </c>
      <c r="H28" s="165">
        <v>8</v>
      </c>
      <c r="I28" s="144">
        <f t="shared" si="1"/>
        <v>24</v>
      </c>
      <c r="J28" s="672">
        <v>2</v>
      </c>
      <c r="K28" s="672">
        <v>0</v>
      </c>
      <c r="L28" s="672">
        <v>0</v>
      </c>
      <c r="M28" s="672">
        <v>0</v>
      </c>
      <c r="N28" s="144">
        <f t="shared" si="21"/>
        <v>2</v>
      </c>
      <c r="O28" s="144">
        <f t="shared" si="29"/>
        <v>12</v>
      </c>
      <c r="P28" s="144">
        <f t="shared" si="28"/>
        <v>6</v>
      </c>
      <c r="Q28" s="144">
        <f t="shared" si="28"/>
        <v>0</v>
      </c>
      <c r="R28" s="144">
        <f t="shared" si="28"/>
        <v>8</v>
      </c>
      <c r="S28" s="144">
        <f t="shared" si="23"/>
        <v>26</v>
      </c>
      <c r="T28" s="672">
        <v>4</v>
      </c>
      <c r="U28" s="672">
        <v>7.25</v>
      </c>
      <c r="V28" s="672">
        <v>0.5</v>
      </c>
      <c r="W28" s="672">
        <v>9.6666666666666661</v>
      </c>
      <c r="X28" s="144">
        <f t="shared" si="24"/>
        <v>21.416666666666664</v>
      </c>
      <c r="Y28" s="672">
        <v>4</v>
      </c>
      <c r="Z28" s="672">
        <v>7.25</v>
      </c>
      <c r="AA28" s="672">
        <v>0.5</v>
      </c>
      <c r="AB28" s="672">
        <v>9.6666666666666661</v>
      </c>
      <c r="AC28" s="144">
        <f t="shared" si="25"/>
        <v>21.416666666666664</v>
      </c>
      <c r="AD28" s="144">
        <f t="shared" si="7"/>
        <v>1269730</v>
      </c>
      <c r="AE28" s="144">
        <f t="shared" si="8"/>
        <v>92519.999999999985</v>
      </c>
      <c r="AF28" s="144">
        <f t="shared" si="9"/>
        <v>128499.99999999999</v>
      </c>
      <c r="AG28" s="144">
        <f t="shared" si="10"/>
        <v>51399.999999999993</v>
      </c>
      <c r="AH28" s="144">
        <f t="shared" si="11"/>
        <v>188466.66666666666</v>
      </c>
      <c r="AI28" s="144">
        <f t="shared" si="12"/>
        <v>17133.333333333332</v>
      </c>
      <c r="AJ28" s="144">
        <f t="shared" si="13"/>
        <v>0</v>
      </c>
      <c r="AK28" s="144">
        <f t="shared" si="14"/>
        <v>20559.999999999996</v>
      </c>
      <c r="AL28" s="144">
        <f t="shared" si="15"/>
        <v>527518.99</v>
      </c>
      <c r="AM28" s="144">
        <f t="shared" si="16"/>
        <v>2295828.9900000002</v>
      </c>
      <c r="AN28" s="675">
        <f t="shared" si="17"/>
        <v>1377497</v>
      </c>
      <c r="AO28" s="675"/>
      <c r="AP28" s="675">
        <f t="shared" si="18"/>
        <v>1377497</v>
      </c>
      <c r="AQ28" s="675">
        <f t="shared" si="19"/>
        <v>459166</v>
      </c>
    </row>
    <row r="29" spans="1:43" ht="15" customHeight="1">
      <c r="A29" s="141" t="s">
        <v>540</v>
      </c>
      <c r="B29" s="240" t="s">
        <v>2111</v>
      </c>
      <c r="C29" s="240" t="s">
        <v>2101</v>
      </c>
      <c r="D29" s="672"/>
      <c r="E29" s="165">
        <v>0</v>
      </c>
      <c r="F29" s="165">
        <v>6</v>
      </c>
      <c r="G29" s="165">
        <v>0</v>
      </c>
      <c r="H29" s="165">
        <v>7</v>
      </c>
      <c r="I29" s="144">
        <f t="shared" si="1"/>
        <v>13</v>
      </c>
      <c r="J29" s="672">
        <v>0</v>
      </c>
      <c r="K29" s="672">
        <v>0</v>
      </c>
      <c r="L29" s="672">
        <v>0</v>
      </c>
      <c r="M29" s="672">
        <v>0</v>
      </c>
      <c r="N29" s="144">
        <f t="shared" si="21"/>
        <v>0</v>
      </c>
      <c r="O29" s="144">
        <f t="shared" si="29"/>
        <v>0</v>
      </c>
      <c r="P29" s="144">
        <f t="shared" si="28"/>
        <v>6</v>
      </c>
      <c r="Q29" s="144">
        <f t="shared" si="28"/>
        <v>0</v>
      </c>
      <c r="R29" s="144">
        <f t="shared" si="28"/>
        <v>7</v>
      </c>
      <c r="S29" s="144">
        <f t="shared" si="23"/>
        <v>13</v>
      </c>
      <c r="T29" s="672">
        <v>0</v>
      </c>
      <c r="U29" s="672">
        <v>1</v>
      </c>
      <c r="V29" s="672">
        <v>0</v>
      </c>
      <c r="W29" s="672">
        <v>12</v>
      </c>
      <c r="X29" s="144">
        <f t="shared" si="24"/>
        <v>13</v>
      </c>
      <c r="Y29" s="672">
        <v>0</v>
      </c>
      <c r="Z29" s="672">
        <v>1</v>
      </c>
      <c r="AA29" s="672">
        <v>0</v>
      </c>
      <c r="AB29" s="672">
        <v>12</v>
      </c>
      <c r="AC29" s="144">
        <f t="shared" si="25"/>
        <v>13</v>
      </c>
      <c r="AD29" s="144">
        <f t="shared" si="7"/>
        <v>675000</v>
      </c>
      <c r="AE29" s="144">
        <f t="shared" si="8"/>
        <v>56160</v>
      </c>
      <c r="AF29" s="144">
        <f t="shared" si="9"/>
        <v>78000</v>
      </c>
      <c r="AG29" s="144">
        <f t="shared" si="10"/>
        <v>31200</v>
      </c>
      <c r="AH29" s="144">
        <f t="shared" si="11"/>
        <v>114400</v>
      </c>
      <c r="AI29" s="144">
        <f t="shared" si="12"/>
        <v>10400</v>
      </c>
      <c r="AJ29" s="144">
        <f t="shared" si="13"/>
        <v>0</v>
      </c>
      <c r="AK29" s="144">
        <f t="shared" si="14"/>
        <v>12480</v>
      </c>
      <c r="AL29" s="144">
        <f t="shared" si="15"/>
        <v>285976.49</v>
      </c>
      <c r="AM29" s="144">
        <f t="shared" si="16"/>
        <v>1263616.49</v>
      </c>
      <c r="AN29" s="675">
        <f t="shared" si="17"/>
        <v>758170</v>
      </c>
      <c r="AO29" s="675"/>
      <c r="AP29" s="675">
        <f t="shared" si="18"/>
        <v>758170</v>
      </c>
      <c r="AQ29" s="675">
        <f t="shared" si="19"/>
        <v>252723</v>
      </c>
    </row>
    <row r="30" spans="1:43" ht="15" customHeight="1">
      <c r="A30" s="141" t="s">
        <v>540</v>
      </c>
      <c r="B30" s="240" t="s">
        <v>887</v>
      </c>
      <c r="C30" s="240" t="s">
        <v>2101</v>
      </c>
      <c r="D30" s="672"/>
      <c r="E30" s="165">
        <v>0</v>
      </c>
      <c r="F30" s="165">
        <v>5</v>
      </c>
      <c r="G30" s="165">
        <v>0</v>
      </c>
      <c r="H30" s="165">
        <v>6</v>
      </c>
      <c r="I30" s="144">
        <f t="shared" si="1"/>
        <v>11</v>
      </c>
      <c r="J30" s="672">
        <v>10.92</v>
      </c>
      <c r="K30" s="672">
        <v>0</v>
      </c>
      <c r="L30" s="672">
        <v>0</v>
      </c>
      <c r="M30" s="672">
        <v>0.5</v>
      </c>
      <c r="N30" s="144">
        <f t="shared" si="21"/>
        <v>11.42</v>
      </c>
      <c r="O30" s="144">
        <f t="shared" si="29"/>
        <v>10.92</v>
      </c>
      <c r="P30" s="144">
        <f t="shared" si="28"/>
        <v>5</v>
      </c>
      <c r="Q30" s="144">
        <f t="shared" si="28"/>
        <v>0</v>
      </c>
      <c r="R30" s="144">
        <f t="shared" si="28"/>
        <v>6.5</v>
      </c>
      <c r="S30" s="144">
        <f t="shared" si="23"/>
        <v>22.42</v>
      </c>
      <c r="T30" s="672">
        <v>3.4166666666666665</v>
      </c>
      <c r="U30" s="672">
        <v>7</v>
      </c>
      <c r="V30" s="672">
        <v>0</v>
      </c>
      <c r="W30" s="672">
        <v>4.916666666666667</v>
      </c>
      <c r="X30" s="144">
        <f t="shared" si="24"/>
        <v>15.333333333333332</v>
      </c>
      <c r="Y30" s="672">
        <v>3.4166666666666665</v>
      </c>
      <c r="Z30" s="672">
        <v>7</v>
      </c>
      <c r="AA30" s="672">
        <v>0</v>
      </c>
      <c r="AB30" s="672">
        <v>4.916666666666667</v>
      </c>
      <c r="AC30" s="144">
        <f t="shared" si="25"/>
        <v>15.333333333333332</v>
      </c>
      <c r="AD30" s="144">
        <f t="shared" si="7"/>
        <v>938446.99999999988</v>
      </c>
      <c r="AE30" s="144">
        <f t="shared" si="8"/>
        <v>66240</v>
      </c>
      <c r="AF30" s="144">
        <f t="shared" si="9"/>
        <v>92000</v>
      </c>
      <c r="AG30" s="144">
        <f t="shared" si="10"/>
        <v>36800</v>
      </c>
      <c r="AH30" s="144">
        <f t="shared" si="11"/>
        <v>134933.33333333331</v>
      </c>
      <c r="AI30" s="144">
        <f t="shared" si="12"/>
        <v>12266.666666666666</v>
      </c>
      <c r="AJ30" s="144">
        <f t="shared" si="13"/>
        <v>0</v>
      </c>
      <c r="AK30" s="144">
        <f t="shared" si="14"/>
        <v>14719.999999999998</v>
      </c>
      <c r="AL30" s="144">
        <f t="shared" si="15"/>
        <v>388183.94</v>
      </c>
      <c r="AM30" s="144">
        <f t="shared" si="16"/>
        <v>1683590.94</v>
      </c>
      <c r="AN30" s="675">
        <f t="shared" si="17"/>
        <v>1010155</v>
      </c>
      <c r="AO30" s="675"/>
      <c r="AP30" s="675">
        <f t="shared" si="18"/>
        <v>1010155</v>
      </c>
      <c r="AQ30" s="675">
        <f t="shared" si="19"/>
        <v>336718</v>
      </c>
    </row>
    <row r="31" spans="1:43" ht="15" customHeight="1">
      <c r="A31" s="141" t="s">
        <v>540</v>
      </c>
      <c r="B31" s="240" t="s">
        <v>2112</v>
      </c>
      <c r="C31" s="240" t="s">
        <v>2099</v>
      </c>
      <c r="D31" s="672">
        <v>1</v>
      </c>
      <c r="E31" s="165">
        <v>2</v>
      </c>
      <c r="F31" s="165">
        <v>2</v>
      </c>
      <c r="G31" s="165">
        <v>19</v>
      </c>
      <c r="H31" s="165">
        <v>3</v>
      </c>
      <c r="I31" s="144">
        <f t="shared" si="1"/>
        <v>26</v>
      </c>
      <c r="J31" s="672">
        <v>6</v>
      </c>
      <c r="K31" s="672">
        <v>0</v>
      </c>
      <c r="L31" s="672">
        <v>5.416666666666667</v>
      </c>
      <c r="M31" s="672">
        <v>3</v>
      </c>
      <c r="N31" s="144">
        <f t="shared" si="21"/>
        <v>14.416666666666668</v>
      </c>
      <c r="O31" s="144">
        <f t="shared" si="29"/>
        <v>8</v>
      </c>
      <c r="P31" s="144">
        <f t="shared" si="28"/>
        <v>2</v>
      </c>
      <c r="Q31" s="144">
        <f t="shared" si="28"/>
        <v>24.416666666666668</v>
      </c>
      <c r="R31" s="144">
        <f t="shared" si="28"/>
        <v>6</v>
      </c>
      <c r="S31" s="144">
        <f t="shared" si="23"/>
        <v>40.416666666666671</v>
      </c>
      <c r="T31" s="672">
        <v>10.083333333333334</v>
      </c>
      <c r="U31" s="672">
        <v>3</v>
      </c>
      <c r="V31" s="672">
        <v>17.333333333333332</v>
      </c>
      <c r="W31" s="672">
        <v>3.1666666666666665</v>
      </c>
      <c r="X31" s="144">
        <f t="shared" si="24"/>
        <v>33.583333333333329</v>
      </c>
      <c r="Y31" s="672">
        <v>10.083333333333334</v>
      </c>
      <c r="Z31" s="672">
        <v>3</v>
      </c>
      <c r="AA31" s="672">
        <v>17.333333333333332</v>
      </c>
      <c r="AB31" s="672">
        <v>3.1666666666666665</v>
      </c>
      <c r="AC31" s="144">
        <f t="shared" si="25"/>
        <v>33.583333333333329</v>
      </c>
      <c r="AD31" s="144">
        <f t="shared" si="7"/>
        <v>2158909</v>
      </c>
      <c r="AE31" s="144">
        <f t="shared" si="8"/>
        <v>145079.99999999997</v>
      </c>
      <c r="AF31" s="144">
        <f t="shared" si="9"/>
        <v>201499.99999999997</v>
      </c>
      <c r="AG31" s="144">
        <f t="shared" si="10"/>
        <v>80599.999999999985</v>
      </c>
      <c r="AH31" s="144">
        <f t="shared" si="11"/>
        <v>295533.33333333331</v>
      </c>
      <c r="AI31" s="144">
        <f t="shared" si="12"/>
        <v>26866.666666666664</v>
      </c>
      <c r="AJ31" s="144">
        <f t="shared" si="13"/>
        <v>10000</v>
      </c>
      <c r="AK31" s="144">
        <f t="shared" si="14"/>
        <v>32239.999999999996</v>
      </c>
      <c r="AL31" s="144">
        <f t="shared" si="15"/>
        <v>890792.45</v>
      </c>
      <c r="AM31" s="144">
        <f t="shared" si="16"/>
        <v>3841521.45</v>
      </c>
      <c r="AN31" s="675">
        <f t="shared" si="17"/>
        <v>2304913</v>
      </c>
      <c r="AO31" s="675"/>
      <c r="AP31" s="675">
        <f t="shared" si="18"/>
        <v>2304913</v>
      </c>
      <c r="AQ31" s="675">
        <f t="shared" si="19"/>
        <v>768304</v>
      </c>
    </row>
    <row r="32" spans="1:43" ht="15" customHeight="1">
      <c r="A32" s="141" t="s">
        <v>540</v>
      </c>
      <c r="B32" s="240" t="s">
        <v>2113</v>
      </c>
      <c r="C32" s="240" t="s">
        <v>2099</v>
      </c>
      <c r="D32" s="672">
        <v>1</v>
      </c>
      <c r="E32" s="165">
        <v>3</v>
      </c>
      <c r="F32" s="165">
        <v>2</v>
      </c>
      <c r="G32" s="165">
        <v>24</v>
      </c>
      <c r="H32" s="165">
        <v>3</v>
      </c>
      <c r="I32" s="144">
        <f t="shared" si="1"/>
        <v>32</v>
      </c>
      <c r="J32" s="672">
        <v>5.166666666666667</v>
      </c>
      <c r="K32" s="672">
        <v>2.6666666666666665</v>
      </c>
      <c r="L32" s="672">
        <v>3.3333333333333335</v>
      </c>
      <c r="M32" s="672">
        <v>3.8333333333333335</v>
      </c>
      <c r="N32" s="144">
        <f t="shared" si="21"/>
        <v>15.000000000000002</v>
      </c>
      <c r="O32" s="144">
        <f t="shared" si="29"/>
        <v>8.1666666666666679</v>
      </c>
      <c r="P32" s="144">
        <f t="shared" si="28"/>
        <v>4.6666666666666661</v>
      </c>
      <c r="Q32" s="144">
        <f t="shared" si="28"/>
        <v>27.333333333333332</v>
      </c>
      <c r="R32" s="144">
        <f t="shared" si="28"/>
        <v>6.8333333333333339</v>
      </c>
      <c r="S32" s="144">
        <f t="shared" si="23"/>
        <v>47</v>
      </c>
      <c r="T32" s="672">
        <v>16</v>
      </c>
      <c r="U32" s="672">
        <v>3.5833333333333335</v>
      </c>
      <c r="V32" s="672">
        <v>18.583333333333332</v>
      </c>
      <c r="W32" s="672">
        <v>2.6666666666666665</v>
      </c>
      <c r="X32" s="144">
        <f t="shared" si="24"/>
        <v>40.833333333333329</v>
      </c>
      <c r="Y32" s="672">
        <v>16</v>
      </c>
      <c r="Z32" s="672">
        <v>3.5833333333333335</v>
      </c>
      <c r="AA32" s="672">
        <v>18.583333333333332</v>
      </c>
      <c r="AB32" s="672">
        <v>2.6666666666666665</v>
      </c>
      <c r="AC32" s="144">
        <f t="shared" si="25"/>
        <v>40.833333333333329</v>
      </c>
      <c r="AD32" s="144">
        <f t="shared" si="7"/>
        <v>2675276</v>
      </c>
      <c r="AE32" s="144">
        <f t="shared" si="8"/>
        <v>176399.99999999997</v>
      </c>
      <c r="AF32" s="144">
        <f t="shared" si="9"/>
        <v>244999.99999999997</v>
      </c>
      <c r="AG32" s="144">
        <f t="shared" si="10"/>
        <v>97999.999999999985</v>
      </c>
      <c r="AH32" s="144">
        <f t="shared" si="11"/>
        <v>359333.33333333331</v>
      </c>
      <c r="AI32" s="144">
        <f t="shared" si="12"/>
        <v>32666.666666666664</v>
      </c>
      <c r="AJ32" s="144">
        <f t="shared" si="13"/>
        <v>10000</v>
      </c>
      <c r="AK32" s="144">
        <f t="shared" si="14"/>
        <v>39199.999999999993</v>
      </c>
      <c r="AL32" s="144">
        <f t="shared" si="15"/>
        <v>1100310.81</v>
      </c>
      <c r="AM32" s="144">
        <f t="shared" si="16"/>
        <v>4736186.8100000005</v>
      </c>
      <c r="AN32" s="675">
        <f t="shared" si="17"/>
        <v>2841712</v>
      </c>
      <c r="AO32" s="675"/>
      <c r="AP32" s="675">
        <f t="shared" si="18"/>
        <v>2841712</v>
      </c>
      <c r="AQ32" s="675">
        <f t="shared" si="19"/>
        <v>947237</v>
      </c>
    </row>
    <row r="33" spans="1:43" ht="15" customHeight="1">
      <c r="A33" s="676"/>
      <c r="B33" s="676" t="s">
        <v>2114</v>
      </c>
      <c r="C33" s="676"/>
      <c r="D33" s="146">
        <f>SUM(D22:D32)</f>
        <v>8</v>
      </c>
      <c r="E33" s="146">
        <f t="shared" ref="E33:AQ33" si="30">SUM(E22:E32)</f>
        <v>28</v>
      </c>
      <c r="F33" s="146">
        <f t="shared" si="30"/>
        <v>37</v>
      </c>
      <c r="G33" s="146">
        <f t="shared" si="30"/>
        <v>140</v>
      </c>
      <c r="H33" s="146">
        <f t="shared" si="30"/>
        <v>47</v>
      </c>
      <c r="I33" s="146">
        <f t="shared" si="30"/>
        <v>252</v>
      </c>
      <c r="J33" s="146">
        <f t="shared" si="30"/>
        <v>59.753333333333337</v>
      </c>
      <c r="K33" s="146">
        <f t="shared" si="30"/>
        <v>6.1666666666666661</v>
      </c>
      <c r="L33" s="146">
        <f t="shared" si="30"/>
        <v>16.25</v>
      </c>
      <c r="M33" s="146">
        <f t="shared" si="30"/>
        <v>9.3333333333333339</v>
      </c>
      <c r="N33" s="146">
        <f t="shared" si="30"/>
        <v>91.50333333333333</v>
      </c>
      <c r="O33" s="146">
        <f t="shared" si="30"/>
        <v>87.753333333333345</v>
      </c>
      <c r="P33" s="146">
        <f t="shared" si="30"/>
        <v>43.166666666666664</v>
      </c>
      <c r="Q33" s="146">
        <f t="shared" si="30"/>
        <v>156.25</v>
      </c>
      <c r="R33" s="146">
        <f t="shared" si="30"/>
        <v>56.333333333333336</v>
      </c>
      <c r="S33" s="146">
        <f t="shared" si="30"/>
        <v>343.50333333333333</v>
      </c>
      <c r="T33" s="146">
        <f t="shared" si="30"/>
        <v>69.666666666666671</v>
      </c>
      <c r="U33" s="146">
        <f t="shared" si="30"/>
        <v>36.666666666666664</v>
      </c>
      <c r="V33" s="146">
        <f t="shared" si="30"/>
        <v>133.75</v>
      </c>
      <c r="W33" s="146">
        <f t="shared" si="30"/>
        <v>49.083333333333329</v>
      </c>
      <c r="X33" s="146">
        <f t="shared" si="30"/>
        <v>289.16666666666663</v>
      </c>
      <c r="Y33" s="146">
        <f t="shared" si="30"/>
        <v>69.666666666666671</v>
      </c>
      <c r="Z33" s="146">
        <f t="shared" si="30"/>
        <v>36.666666666666664</v>
      </c>
      <c r="AA33" s="146">
        <f t="shared" si="30"/>
        <v>133.75</v>
      </c>
      <c r="AB33" s="146">
        <f t="shared" si="30"/>
        <v>49.083333333333329</v>
      </c>
      <c r="AC33" s="146">
        <f t="shared" si="30"/>
        <v>289.16666666666663</v>
      </c>
      <c r="AD33" s="146">
        <f t="shared" si="30"/>
        <v>18179832</v>
      </c>
      <c r="AE33" s="146">
        <f t="shared" si="30"/>
        <v>1249200</v>
      </c>
      <c r="AF33" s="146">
        <f t="shared" si="30"/>
        <v>1735000</v>
      </c>
      <c r="AG33" s="146">
        <f t="shared" si="30"/>
        <v>694000</v>
      </c>
      <c r="AH33" s="146">
        <f t="shared" si="30"/>
        <v>2544666.666666667</v>
      </c>
      <c r="AI33" s="146">
        <f t="shared" si="30"/>
        <v>231333.33333333331</v>
      </c>
      <c r="AJ33" s="146">
        <f t="shared" si="30"/>
        <v>80000</v>
      </c>
      <c r="AK33" s="146">
        <f t="shared" si="30"/>
        <v>277600</v>
      </c>
      <c r="AL33" s="146">
        <f t="shared" si="30"/>
        <v>7521572.0800000019</v>
      </c>
      <c r="AM33" s="146">
        <f t="shared" si="30"/>
        <v>32513204.079999998</v>
      </c>
      <c r="AN33" s="146">
        <f t="shared" si="30"/>
        <v>19507923</v>
      </c>
      <c r="AO33" s="146">
        <f t="shared" si="30"/>
        <v>0</v>
      </c>
      <c r="AP33" s="146">
        <f t="shared" si="30"/>
        <v>19507923</v>
      </c>
      <c r="AQ33" s="146">
        <f t="shared" si="30"/>
        <v>6502641</v>
      </c>
    </row>
    <row r="34" spans="1:43" ht="15" customHeight="1">
      <c r="A34" s="141" t="s">
        <v>539</v>
      </c>
      <c r="B34" s="240" t="s">
        <v>2115</v>
      </c>
      <c r="C34" s="240" t="s">
        <v>2099</v>
      </c>
      <c r="D34" s="672">
        <v>1</v>
      </c>
      <c r="E34" s="165">
        <v>2</v>
      </c>
      <c r="F34" s="165">
        <v>2</v>
      </c>
      <c r="G34" s="165">
        <v>15</v>
      </c>
      <c r="H34" s="165">
        <v>3</v>
      </c>
      <c r="I34" s="144">
        <f t="shared" si="1"/>
        <v>22</v>
      </c>
      <c r="J34" s="144">
        <v>1</v>
      </c>
      <c r="K34" s="144">
        <v>0</v>
      </c>
      <c r="L34" s="144">
        <v>0</v>
      </c>
      <c r="M34" s="144">
        <v>0</v>
      </c>
      <c r="N34" s="144">
        <f t="shared" si="21"/>
        <v>1</v>
      </c>
      <c r="O34" s="144">
        <f t="shared" ref="O34:R51" si="31">E34+J34</f>
        <v>3</v>
      </c>
      <c r="P34" s="144">
        <f t="shared" si="31"/>
        <v>2</v>
      </c>
      <c r="Q34" s="144">
        <f t="shared" si="31"/>
        <v>15</v>
      </c>
      <c r="R34" s="144">
        <f t="shared" si="31"/>
        <v>3</v>
      </c>
      <c r="S34" s="144">
        <f t="shared" si="23"/>
        <v>23</v>
      </c>
      <c r="T34" s="144">
        <v>2.5833333333333335</v>
      </c>
      <c r="U34" s="144">
        <v>2.6666666666666665</v>
      </c>
      <c r="V34" s="144">
        <v>15.75</v>
      </c>
      <c r="W34" s="144">
        <v>2.3333333333333335</v>
      </c>
      <c r="X34" s="144">
        <f t="shared" si="24"/>
        <v>23.333333333333332</v>
      </c>
      <c r="Y34" s="144">
        <v>3</v>
      </c>
      <c r="Z34" s="144">
        <v>2</v>
      </c>
      <c r="AA34" s="144">
        <v>15</v>
      </c>
      <c r="AB34" s="144">
        <v>3</v>
      </c>
      <c r="AC34" s="144">
        <f t="shared" si="25"/>
        <v>23</v>
      </c>
      <c r="AD34" s="144">
        <f t="shared" si="7"/>
        <v>1430532</v>
      </c>
      <c r="AE34" s="144">
        <f t="shared" si="8"/>
        <v>99360</v>
      </c>
      <c r="AF34" s="144">
        <f t="shared" si="9"/>
        <v>138000</v>
      </c>
      <c r="AG34" s="144">
        <f t="shared" si="10"/>
        <v>55200</v>
      </c>
      <c r="AH34" s="144">
        <f t="shared" si="11"/>
        <v>202400</v>
      </c>
      <c r="AI34" s="144">
        <f t="shared" si="12"/>
        <v>18400</v>
      </c>
      <c r="AJ34" s="144">
        <f t="shared" si="13"/>
        <v>10000</v>
      </c>
      <c r="AK34" s="144">
        <f t="shared" si="14"/>
        <v>22080</v>
      </c>
      <c r="AL34" s="144">
        <f t="shared" si="15"/>
        <v>594025.87</v>
      </c>
      <c r="AM34" s="144">
        <f t="shared" si="16"/>
        <v>2569997.87</v>
      </c>
      <c r="AN34" s="675">
        <f t="shared" si="17"/>
        <v>1541999</v>
      </c>
      <c r="AO34" s="675"/>
      <c r="AP34" s="675">
        <f t="shared" si="18"/>
        <v>1541999</v>
      </c>
      <c r="AQ34" s="675">
        <f t="shared" si="19"/>
        <v>514000</v>
      </c>
    </row>
    <row r="35" spans="1:43" ht="15" customHeight="1">
      <c r="A35" s="141" t="s">
        <v>539</v>
      </c>
      <c r="B35" s="240" t="s">
        <v>2116</v>
      </c>
      <c r="C35" s="240" t="s">
        <v>2099</v>
      </c>
      <c r="D35" s="672">
        <v>1</v>
      </c>
      <c r="E35" s="165">
        <v>2</v>
      </c>
      <c r="F35" s="165">
        <v>2</v>
      </c>
      <c r="G35" s="165">
        <v>13</v>
      </c>
      <c r="H35" s="165">
        <v>2</v>
      </c>
      <c r="I35" s="144">
        <f t="shared" si="1"/>
        <v>19</v>
      </c>
      <c r="J35" s="672">
        <v>0.41666666666666669</v>
      </c>
      <c r="K35" s="672">
        <v>0</v>
      </c>
      <c r="L35" s="672">
        <v>2</v>
      </c>
      <c r="M35" s="672">
        <v>0</v>
      </c>
      <c r="N35" s="144">
        <f t="shared" si="21"/>
        <v>2.4166666666666665</v>
      </c>
      <c r="O35" s="144">
        <f t="shared" si="31"/>
        <v>2.4166666666666665</v>
      </c>
      <c r="P35" s="144">
        <f t="shared" si="31"/>
        <v>2</v>
      </c>
      <c r="Q35" s="144">
        <f t="shared" si="31"/>
        <v>15</v>
      </c>
      <c r="R35" s="144">
        <f t="shared" si="31"/>
        <v>2</v>
      </c>
      <c r="S35" s="144">
        <f t="shared" si="23"/>
        <v>21.416666666666664</v>
      </c>
      <c r="T35" s="672">
        <v>2.3333333333333335</v>
      </c>
      <c r="U35" s="672">
        <v>2</v>
      </c>
      <c r="V35" s="672">
        <v>14.916666666666666</v>
      </c>
      <c r="W35" s="672">
        <v>2</v>
      </c>
      <c r="X35" s="144">
        <f t="shared" si="24"/>
        <v>21.25</v>
      </c>
      <c r="Y35" s="672">
        <v>2.3333333333333335</v>
      </c>
      <c r="Z35" s="672">
        <v>2</v>
      </c>
      <c r="AA35" s="672">
        <v>14.916666666666666</v>
      </c>
      <c r="AB35" s="672">
        <v>2</v>
      </c>
      <c r="AC35" s="144">
        <f t="shared" si="25"/>
        <v>21.25</v>
      </c>
      <c r="AD35" s="144">
        <f t="shared" si="7"/>
        <v>1326202</v>
      </c>
      <c r="AE35" s="144">
        <f t="shared" si="8"/>
        <v>91800</v>
      </c>
      <c r="AF35" s="144">
        <f t="shared" si="9"/>
        <v>127500</v>
      </c>
      <c r="AG35" s="144">
        <f t="shared" si="10"/>
        <v>51000</v>
      </c>
      <c r="AH35" s="144">
        <f t="shared" si="11"/>
        <v>187000</v>
      </c>
      <c r="AI35" s="144">
        <f t="shared" si="12"/>
        <v>17000</v>
      </c>
      <c r="AJ35" s="144">
        <f t="shared" si="13"/>
        <v>10000</v>
      </c>
      <c r="AK35" s="144">
        <f t="shared" si="14"/>
        <v>20400</v>
      </c>
      <c r="AL35" s="144">
        <f t="shared" si="15"/>
        <v>550714.63</v>
      </c>
      <c r="AM35" s="144">
        <f t="shared" si="16"/>
        <v>2381616.63</v>
      </c>
      <c r="AN35" s="675">
        <f t="shared" si="17"/>
        <v>1428970</v>
      </c>
      <c r="AO35" s="675"/>
      <c r="AP35" s="675">
        <f t="shared" si="18"/>
        <v>1428970</v>
      </c>
      <c r="AQ35" s="675">
        <f t="shared" si="19"/>
        <v>476323</v>
      </c>
    </row>
    <row r="36" spans="1:43" ht="15" customHeight="1">
      <c r="A36" s="141" t="s">
        <v>539</v>
      </c>
      <c r="B36" s="240" t="s">
        <v>2117</v>
      </c>
      <c r="C36" s="240" t="s">
        <v>2099</v>
      </c>
      <c r="D36" s="672">
        <v>2</v>
      </c>
      <c r="E36" s="165">
        <v>3</v>
      </c>
      <c r="F36" s="165">
        <v>3</v>
      </c>
      <c r="G36" s="165">
        <v>25</v>
      </c>
      <c r="H36" s="165">
        <v>3</v>
      </c>
      <c r="I36" s="144">
        <f t="shared" si="1"/>
        <v>34</v>
      </c>
      <c r="J36" s="672">
        <v>1</v>
      </c>
      <c r="K36" s="672">
        <v>1</v>
      </c>
      <c r="L36" s="672">
        <v>1</v>
      </c>
      <c r="M36" s="672">
        <v>0</v>
      </c>
      <c r="N36" s="144">
        <f t="shared" si="21"/>
        <v>3</v>
      </c>
      <c r="O36" s="144">
        <f t="shared" si="31"/>
        <v>4</v>
      </c>
      <c r="P36" s="144">
        <f t="shared" si="31"/>
        <v>4</v>
      </c>
      <c r="Q36" s="144">
        <f t="shared" si="31"/>
        <v>26</v>
      </c>
      <c r="R36" s="144">
        <f t="shared" si="31"/>
        <v>3</v>
      </c>
      <c r="S36" s="144">
        <f t="shared" si="23"/>
        <v>37</v>
      </c>
      <c r="T36" s="672">
        <v>2.6666666666666665</v>
      </c>
      <c r="U36" s="672">
        <v>2.5</v>
      </c>
      <c r="V36" s="672">
        <v>27.416666666666668</v>
      </c>
      <c r="W36" s="672">
        <v>3</v>
      </c>
      <c r="X36" s="144">
        <f t="shared" si="24"/>
        <v>35.583333333333336</v>
      </c>
      <c r="Y36" s="672">
        <v>2.6666666666666665</v>
      </c>
      <c r="Z36" s="672">
        <v>2.5</v>
      </c>
      <c r="AA36" s="672">
        <v>27.416666666666668</v>
      </c>
      <c r="AB36" s="672">
        <v>3</v>
      </c>
      <c r="AC36" s="144">
        <f t="shared" si="25"/>
        <v>35.583333333333336</v>
      </c>
      <c r="AD36" s="144">
        <f t="shared" si="7"/>
        <v>2211870.0000000005</v>
      </c>
      <c r="AE36" s="144">
        <f t="shared" si="8"/>
        <v>153720</v>
      </c>
      <c r="AF36" s="144">
        <f t="shared" si="9"/>
        <v>213500</v>
      </c>
      <c r="AG36" s="144">
        <f t="shared" si="10"/>
        <v>85400</v>
      </c>
      <c r="AH36" s="144">
        <f t="shared" si="11"/>
        <v>313133.33333333337</v>
      </c>
      <c r="AI36" s="144">
        <f t="shared" si="12"/>
        <v>28466.666666666668</v>
      </c>
      <c r="AJ36" s="144">
        <f t="shared" si="13"/>
        <v>20000</v>
      </c>
      <c r="AK36" s="144">
        <f t="shared" si="14"/>
        <v>34160</v>
      </c>
      <c r="AL36" s="144">
        <f t="shared" si="15"/>
        <v>920169.93</v>
      </c>
      <c r="AM36" s="144">
        <f t="shared" si="16"/>
        <v>3980419.9300000006</v>
      </c>
      <c r="AN36" s="675">
        <f t="shared" si="17"/>
        <v>2388252</v>
      </c>
      <c r="AO36" s="675"/>
      <c r="AP36" s="675">
        <f t="shared" si="18"/>
        <v>2388252</v>
      </c>
      <c r="AQ36" s="675">
        <f t="shared" si="19"/>
        <v>796084</v>
      </c>
    </row>
    <row r="37" spans="1:43" ht="15" customHeight="1">
      <c r="A37" s="141" t="s">
        <v>539</v>
      </c>
      <c r="B37" s="240" t="s">
        <v>2118</v>
      </c>
      <c r="C37" s="240" t="s">
        <v>2099</v>
      </c>
      <c r="D37" s="672">
        <v>3</v>
      </c>
      <c r="E37" s="165">
        <v>15</v>
      </c>
      <c r="F37" s="165">
        <v>6</v>
      </c>
      <c r="G37" s="165">
        <v>44</v>
      </c>
      <c r="H37" s="165">
        <v>5</v>
      </c>
      <c r="I37" s="144">
        <f t="shared" si="1"/>
        <v>70</v>
      </c>
      <c r="J37" s="672">
        <v>0</v>
      </c>
      <c r="K37" s="672">
        <v>2</v>
      </c>
      <c r="L37" s="672">
        <v>0</v>
      </c>
      <c r="M37" s="672">
        <v>0</v>
      </c>
      <c r="N37" s="144">
        <f t="shared" si="21"/>
        <v>2</v>
      </c>
      <c r="O37" s="144">
        <f t="shared" si="31"/>
        <v>15</v>
      </c>
      <c r="P37" s="144">
        <f t="shared" si="31"/>
        <v>8</v>
      </c>
      <c r="Q37" s="144">
        <f t="shared" si="31"/>
        <v>44</v>
      </c>
      <c r="R37" s="144">
        <f t="shared" si="31"/>
        <v>5</v>
      </c>
      <c r="S37" s="144">
        <f t="shared" si="23"/>
        <v>72</v>
      </c>
      <c r="T37" s="672">
        <v>13.666666666666666</v>
      </c>
      <c r="U37" s="672">
        <v>10</v>
      </c>
      <c r="V37" s="672">
        <v>44</v>
      </c>
      <c r="W37" s="672">
        <v>5</v>
      </c>
      <c r="X37" s="144">
        <f t="shared" si="24"/>
        <v>72.666666666666657</v>
      </c>
      <c r="Y37" s="672">
        <v>15</v>
      </c>
      <c r="Z37" s="672">
        <v>8</v>
      </c>
      <c r="AA37" s="672">
        <v>44</v>
      </c>
      <c r="AB37" s="672">
        <v>5</v>
      </c>
      <c r="AC37" s="144">
        <f t="shared" si="25"/>
        <v>72</v>
      </c>
      <c r="AD37" s="144">
        <f t="shared" si="7"/>
        <v>4584492</v>
      </c>
      <c r="AE37" s="144">
        <f t="shared" si="8"/>
        <v>311040</v>
      </c>
      <c r="AF37" s="144">
        <f t="shared" si="9"/>
        <v>432000</v>
      </c>
      <c r="AG37" s="144">
        <f t="shared" si="10"/>
        <v>172800</v>
      </c>
      <c r="AH37" s="144">
        <f t="shared" si="11"/>
        <v>633600</v>
      </c>
      <c r="AI37" s="144">
        <f t="shared" si="12"/>
        <v>57600</v>
      </c>
      <c r="AJ37" s="144">
        <f t="shared" si="13"/>
        <v>30000</v>
      </c>
      <c r="AK37" s="144">
        <f t="shared" si="14"/>
        <v>69120</v>
      </c>
      <c r="AL37" s="144">
        <f t="shared" si="15"/>
        <v>1897103.23</v>
      </c>
      <c r="AM37" s="144">
        <f t="shared" si="16"/>
        <v>8187755.2300000004</v>
      </c>
      <c r="AN37" s="675">
        <f t="shared" si="17"/>
        <v>4912653</v>
      </c>
      <c r="AO37" s="675"/>
      <c r="AP37" s="675">
        <f t="shared" si="18"/>
        <v>4912653</v>
      </c>
      <c r="AQ37" s="675">
        <f t="shared" si="19"/>
        <v>1637551</v>
      </c>
    </row>
    <row r="38" spans="1:43" ht="15" customHeight="1">
      <c r="A38" s="141" t="s">
        <v>539</v>
      </c>
      <c r="B38" s="240" t="s">
        <v>314</v>
      </c>
      <c r="C38" s="240" t="s">
        <v>2099</v>
      </c>
      <c r="D38" s="672">
        <v>2</v>
      </c>
      <c r="E38" s="165">
        <v>3</v>
      </c>
      <c r="F38" s="165">
        <v>3</v>
      </c>
      <c r="G38" s="165">
        <v>24</v>
      </c>
      <c r="H38" s="165">
        <v>3</v>
      </c>
      <c r="I38" s="144">
        <f t="shared" si="1"/>
        <v>33</v>
      </c>
      <c r="J38" s="672">
        <v>0</v>
      </c>
      <c r="K38" s="672">
        <v>1</v>
      </c>
      <c r="L38" s="672">
        <v>0</v>
      </c>
      <c r="M38" s="672">
        <v>0</v>
      </c>
      <c r="N38" s="144">
        <f t="shared" si="21"/>
        <v>1</v>
      </c>
      <c r="O38" s="144">
        <f t="shared" si="31"/>
        <v>3</v>
      </c>
      <c r="P38" s="144">
        <f t="shared" si="31"/>
        <v>4</v>
      </c>
      <c r="Q38" s="144">
        <f t="shared" si="31"/>
        <v>24</v>
      </c>
      <c r="R38" s="144">
        <f t="shared" si="31"/>
        <v>3</v>
      </c>
      <c r="S38" s="144">
        <f t="shared" si="23"/>
        <v>34</v>
      </c>
      <c r="T38" s="672">
        <v>6</v>
      </c>
      <c r="U38" s="672">
        <v>1</v>
      </c>
      <c r="V38" s="672">
        <v>25.583333333333332</v>
      </c>
      <c r="W38" s="672">
        <v>2</v>
      </c>
      <c r="X38" s="144">
        <f t="shared" si="24"/>
        <v>34.583333333333329</v>
      </c>
      <c r="Y38" s="672">
        <v>3</v>
      </c>
      <c r="Z38" s="672">
        <v>4</v>
      </c>
      <c r="AA38" s="672">
        <v>24</v>
      </c>
      <c r="AB38" s="672">
        <v>3</v>
      </c>
      <c r="AC38" s="144">
        <f t="shared" si="25"/>
        <v>34</v>
      </c>
      <c r="AD38" s="144">
        <f t="shared" si="7"/>
        <v>2117484</v>
      </c>
      <c r="AE38" s="144">
        <f t="shared" si="8"/>
        <v>146880</v>
      </c>
      <c r="AF38" s="144">
        <f t="shared" si="9"/>
        <v>204000</v>
      </c>
      <c r="AG38" s="144">
        <f t="shared" si="10"/>
        <v>81600</v>
      </c>
      <c r="AH38" s="144">
        <f t="shared" si="11"/>
        <v>299200</v>
      </c>
      <c r="AI38" s="144">
        <f t="shared" si="12"/>
        <v>27200</v>
      </c>
      <c r="AJ38" s="144">
        <f t="shared" si="13"/>
        <v>20000</v>
      </c>
      <c r="AK38" s="144">
        <f t="shared" si="14"/>
        <v>32640</v>
      </c>
      <c r="AL38" s="144">
        <f t="shared" si="15"/>
        <v>880986.36</v>
      </c>
      <c r="AM38" s="144">
        <f t="shared" si="16"/>
        <v>3809990.36</v>
      </c>
      <c r="AN38" s="675">
        <f t="shared" si="17"/>
        <v>2285994</v>
      </c>
      <c r="AO38" s="675"/>
      <c r="AP38" s="675">
        <f t="shared" si="18"/>
        <v>2285994</v>
      </c>
      <c r="AQ38" s="675">
        <f t="shared" si="19"/>
        <v>761998</v>
      </c>
    </row>
    <row r="39" spans="1:43" ht="15" customHeight="1">
      <c r="A39" s="141" t="s">
        <v>539</v>
      </c>
      <c r="B39" s="240" t="s">
        <v>313</v>
      </c>
      <c r="C39" s="240" t="s">
        <v>2099</v>
      </c>
      <c r="D39" s="672">
        <v>3</v>
      </c>
      <c r="E39" s="165">
        <v>4</v>
      </c>
      <c r="F39" s="165">
        <v>3</v>
      </c>
      <c r="G39" s="165">
        <v>32</v>
      </c>
      <c r="H39" s="165">
        <v>3</v>
      </c>
      <c r="I39" s="144">
        <f t="shared" si="1"/>
        <v>42</v>
      </c>
      <c r="J39" s="672">
        <v>1.6666666666666667</v>
      </c>
      <c r="K39" s="672">
        <v>1</v>
      </c>
      <c r="L39" s="672">
        <v>0</v>
      </c>
      <c r="M39" s="672">
        <v>1</v>
      </c>
      <c r="N39" s="144">
        <f t="shared" si="21"/>
        <v>3.666666666666667</v>
      </c>
      <c r="O39" s="144">
        <f t="shared" si="31"/>
        <v>5.666666666666667</v>
      </c>
      <c r="P39" s="144">
        <f t="shared" si="31"/>
        <v>4</v>
      </c>
      <c r="Q39" s="144">
        <f t="shared" si="31"/>
        <v>32</v>
      </c>
      <c r="R39" s="144">
        <f t="shared" si="31"/>
        <v>4</v>
      </c>
      <c r="S39" s="144">
        <f t="shared" si="23"/>
        <v>45.666666666666671</v>
      </c>
      <c r="T39" s="672">
        <v>4.583333333333333</v>
      </c>
      <c r="U39" s="672">
        <v>2.5</v>
      </c>
      <c r="V39" s="672">
        <v>33.916666666666664</v>
      </c>
      <c r="W39" s="672">
        <v>4</v>
      </c>
      <c r="X39" s="144">
        <f t="shared" si="24"/>
        <v>45</v>
      </c>
      <c r="Y39" s="672">
        <v>4.583333333333333</v>
      </c>
      <c r="Z39" s="672">
        <v>2.5</v>
      </c>
      <c r="AA39" s="672">
        <v>33.916666666666664</v>
      </c>
      <c r="AB39" s="672">
        <v>4</v>
      </c>
      <c r="AC39" s="144">
        <f t="shared" si="25"/>
        <v>45</v>
      </c>
      <c r="AD39" s="144">
        <f t="shared" si="7"/>
        <v>2806393</v>
      </c>
      <c r="AE39" s="144">
        <f t="shared" si="8"/>
        <v>194400</v>
      </c>
      <c r="AF39" s="144">
        <f t="shared" si="9"/>
        <v>270000</v>
      </c>
      <c r="AG39" s="144">
        <f t="shared" si="10"/>
        <v>108000</v>
      </c>
      <c r="AH39" s="144">
        <f t="shared" si="11"/>
        <v>396000</v>
      </c>
      <c r="AI39" s="144">
        <f t="shared" si="12"/>
        <v>36000</v>
      </c>
      <c r="AJ39" s="144">
        <f t="shared" si="13"/>
        <v>30000</v>
      </c>
      <c r="AK39" s="144">
        <f t="shared" si="14"/>
        <v>43200</v>
      </c>
      <c r="AL39" s="144">
        <f t="shared" si="15"/>
        <v>1168646.6000000001</v>
      </c>
      <c r="AM39" s="144">
        <f t="shared" si="16"/>
        <v>5052639.5999999996</v>
      </c>
      <c r="AN39" s="675">
        <f t="shared" si="17"/>
        <v>3031584</v>
      </c>
      <c r="AO39" s="675"/>
      <c r="AP39" s="675">
        <f t="shared" si="18"/>
        <v>3031584</v>
      </c>
      <c r="AQ39" s="675">
        <f t="shared" si="19"/>
        <v>1010528</v>
      </c>
    </row>
    <row r="40" spans="1:43" ht="15" customHeight="1">
      <c r="A40" s="141" t="s">
        <v>539</v>
      </c>
      <c r="B40" s="240" t="s">
        <v>2119</v>
      </c>
      <c r="C40" s="240" t="s">
        <v>2101</v>
      </c>
      <c r="D40" s="672"/>
      <c r="E40" s="165">
        <v>0</v>
      </c>
      <c r="F40" s="165">
        <v>4</v>
      </c>
      <c r="G40" s="165">
        <v>0</v>
      </c>
      <c r="H40" s="165">
        <v>4</v>
      </c>
      <c r="I40" s="144">
        <f t="shared" si="1"/>
        <v>8</v>
      </c>
      <c r="J40" s="672">
        <v>0</v>
      </c>
      <c r="K40" s="672">
        <v>0</v>
      </c>
      <c r="L40" s="672">
        <v>0</v>
      </c>
      <c r="M40" s="672">
        <v>0</v>
      </c>
      <c r="N40" s="144">
        <f t="shared" si="21"/>
        <v>0</v>
      </c>
      <c r="O40" s="144">
        <f t="shared" si="31"/>
        <v>0</v>
      </c>
      <c r="P40" s="144">
        <f t="shared" si="31"/>
        <v>4</v>
      </c>
      <c r="Q40" s="144">
        <f t="shared" si="31"/>
        <v>0</v>
      </c>
      <c r="R40" s="144">
        <f t="shared" si="31"/>
        <v>4</v>
      </c>
      <c r="S40" s="144">
        <f t="shared" si="23"/>
        <v>8</v>
      </c>
      <c r="T40" s="672">
        <v>0</v>
      </c>
      <c r="U40" s="672">
        <v>1</v>
      </c>
      <c r="V40" s="672">
        <v>0</v>
      </c>
      <c r="W40" s="672">
        <v>7</v>
      </c>
      <c r="X40" s="144">
        <f t="shared" si="24"/>
        <v>8</v>
      </c>
      <c r="Y40" s="672">
        <v>0</v>
      </c>
      <c r="Z40" s="672">
        <v>1</v>
      </c>
      <c r="AA40" s="672">
        <v>0</v>
      </c>
      <c r="AB40" s="672">
        <v>7</v>
      </c>
      <c r="AC40" s="144">
        <f t="shared" si="25"/>
        <v>8</v>
      </c>
      <c r="AD40" s="144">
        <f t="shared" si="7"/>
        <v>420000</v>
      </c>
      <c r="AE40" s="144">
        <f t="shared" si="8"/>
        <v>34560</v>
      </c>
      <c r="AF40" s="144">
        <f t="shared" si="9"/>
        <v>48000</v>
      </c>
      <c r="AG40" s="144">
        <f t="shared" si="10"/>
        <v>19200</v>
      </c>
      <c r="AH40" s="144">
        <f t="shared" si="11"/>
        <v>70400</v>
      </c>
      <c r="AI40" s="144">
        <f t="shared" si="12"/>
        <v>6400</v>
      </c>
      <c r="AJ40" s="144">
        <f t="shared" si="13"/>
        <v>0</v>
      </c>
      <c r="AK40" s="144">
        <f t="shared" si="14"/>
        <v>7680</v>
      </c>
      <c r="AL40" s="144">
        <f t="shared" si="15"/>
        <v>177635.81</v>
      </c>
      <c r="AM40" s="144">
        <f t="shared" si="16"/>
        <v>783875.81</v>
      </c>
      <c r="AN40" s="675">
        <f t="shared" si="17"/>
        <v>470325</v>
      </c>
      <c r="AO40" s="675"/>
      <c r="AP40" s="675">
        <f t="shared" si="18"/>
        <v>470325</v>
      </c>
      <c r="AQ40" s="675">
        <f t="shared" si="19"/>
        <v>156775</v>
      </c>
    </row>
    <row r="41" spans="1:43" ht="15" customHeight="1">
      <c r="A41" s="141" t="s">
        <v>539</v>
      </c>
      <c r="B41" s="240" t="s">
        <v>893</v>
      </c>
      <c r="C41" s="240" t="s">
        <v>2101</v>
      </c>
      <c r="D41" s="672"/>
      <c r="E41" s="165">
        <v>0</v>
      </c>
      <c r="F41" s="165">
        <v>6</v>
      </c>
      <c r="G41" s="165">
        <v>0</v>
      </c>
      <c r="H41" s="165">
        <v>8</v>
      </c>
      <c r="I41" s="144">
        <f t="shared" si="1"/>
        <v>14</v>
      </c>
      <c r="J41" s="672">
        <v>6.333333333333333</v>
      </c>
      <c r="K41" s="672">
        <v>0</v>
      </c>
      <c r="L41" s="672">
        <v>0</v>
      </c>
      <c r="M41" s="672">
        <v>0</v>
      </c>
      <c r="N41" s="144">
        <f t="shared" si="21"/>
        <v>6.333333333333333</v>
      </c>
      <c r="O41" s="144">
        <f t="shared" si="31"/>
        <v>6.333333333333333</v>
      </c>
      <c r="P41" s="144">
        <f t="shared" si="31"/>
        <v>6</v>
      </c>
      <c r="Q41" s="144">
        <f t="shared" si="31"/>
        <v>0</v>
      </c>
      <c r="R41" s="144">
        <f t="shared" si="31"/>
        <v>8</v>
      </c>
      <c r="S41" s="144">
        <f t="shared" si="23"/>
        <v>20.333333333333332</v>
      </c>
      <c r="T41" s="672">
        <v>3.5</v>
      </c>
      <c r="U41" s="672">
        <v>3</v>
      </c>
      <c r="V41" s="672">
        <v>0</v>
      </c>
      <c r="W41" s="672">
        <v>8.3333333333333339</v>
      </c>
      <c r="X41" s="144">
        <f t="shared" si="24"/>
        <v>14.833333333333334</v>
      </c>
      <c r="Y41" s="672">
        <v>3.5</v>
      </c>
      <c r="Z41" s="672">
        <v>3</v>
      </c>
      <c r="AA41" s="672">
        <v>0</v>
      </c>
      <c r="AB41" s="672">
        <v>8.3333333333333339</v>
      </c>
      <c r="AC41" s="144">
        <f t="shared" si="25"/>
        <v>14.833333333333334</v>
      </c>
      <c r="AD41" s="144">
        <f t="shared" si="7"/>
        <v>866714</v>
      </c>
      <c r="AE41" s="144">
        <f t="shared" si="8"/>
        <v>64080</v>
      </c>
      <c r="AF41" s="144">
        <f t="shared" si="9"/>
        <v>89000</v>
      </c>
      <c r="AG41" s="144">
        <f t="shared" si="10"/>
        <v>35600</v>
      </c>
      <c r="AH41" s="144">
        <f t="shared" si="11"/>
        <v>130533.33333333334</v>
      </c>
      <c r="AI41" s="144">
        <f t="shared" si="12"/>
        <v>11866.666666666668</v>
      </c>
      <c r="AJ41" s="144">
        <f t="shared" si="13"/>
        <v>0</v>
      </c>
      <c r="AK41" s="144">
        <f t="shared" si="14"/>
        <v>14240</v>
      </c>
      <c r="AL41" s="144">
        <f t="shared" si="15"/>
        <v>360818.8</v>
      </c>
      <c r="AM41" s="144">
        <f t="shared" si="16"/>
        <v>1572852.8</v>
      </c>
      <c r="AN41" s="675">
        <f t="shared" si="17"/>
        <v>943712</v>
      </c>
      <c r="AO41" s="675"/>
      <c r="AP41" s="675">
        <f t="shared" si="18"/>
        <v>943712</v>
      </c>
      <c r="AQ41" s="675">
        <f t="shared" si="19"/>
        <v>314571</v>
      </c>
    </row>
    <row r="42" spans="1:43" ht="15" customHeight="1">
      <c r="A42" s="141" t="s">
        <v>539</v>
      </c>
      <c r="B42" s="240" t="s">
        <v>311</v>
      </c>
      <c r="C42" s="240" t="s">
        <v>2101</v>
      </c>
      <c r="D42" s="672"/>
      <c r="E42" s="165">
        <v>0</v>
      </c>
      <c r="F42" s="165">
        <v>4</v>
      </c>
      <c r="G42" s="165">
        <v>0</v>
      </c>
      <c r="H42" s="165">
        <v>4</v>
      </c>
      <c r="I42" s="144">
        <f t="shared" si="1"/>
        <v>8</v>
      </c>
      <c r="J42" s="672">
        <v>0.5</v>
      </c>
      <c r="K42" s="672">
        <v>0</v>
      </c>
      <c r="L42" s="672">
        <v>0</v>
      </c>
      <c r="M42" s="672">
        <v>0</v>
      </c>
      <c r="N42" s="144">
        <f t="shared" si="21"/>
        <v>0.5</v>
      </c>
      <c r="O42" s="144">
        <f t="shared" si="31"/>
        <v>0.5</v>
      </c>
      <c r="P42" s="144">
        <f t="shared" si="31"/>
        <v>4</v>
      </c>
      <c r="Q42" s="144">
        <f t="shared" si="31"/>
        <v>0</v>
      </c>
      <c r="R42" s="144">
        <f t="shared" si="31"/>
        <v>4</v>
      </c>
      <c r="S42" s="144">
        <f t="shared" si="23"/>
        <v>8.5</v>
      </c>
      <c r="T42" s="672">
        <v>0.83333333333333337</v>
      </c>
      <c r="U42" s="672">
        <v>2</v>
      </c>
      <c r="V42" s="672">
        <v>2</v>
      </c>
      <c r="W42" s="672">
        <v>3</v>
      </c>
      <c r="X42" s="144">
        <f t="shared" si="24"/>
        <v>7.8333333333333339</v>
      </c>
      <c r="Y42" s="672">
        <v>0.83333333333333337</v>
      </c>
      <c r="Z42" s="672">
        <v>2</v>
      </c>
      <c r="AA42" s="672">
        <v>2</v>
      </c>
      <c r="AB42" s="672">
        <v>3</v>
      </c>
      <c r="AC42" s="144">
        <f t="shared" si="25"/>
        <v>7.8333333333333339</v>
      </c>
      <c r="AD42" s="144">
        <f t="shared" si="7"/>
        <v>463826.00000000006</v>
      </c>
      <c r="AE42" s="144">
        <f t="shared" si="8"/>
        <v>33840</v>
      </c>
      <c r="AF42" s="144">
        <f t="shared" si="9"/>
        <v>47000</v>
      </c>
      <c r="AG42" s="144">
        <f t="shared" si="10"/>
        <v>18800</v>
      </c>
      <c r="AH42" s="144">
        <f t="shared" si="11"/>
        <v>68933.333333333343</v>
      </c>
      <c r="AI42" s="144">
        <f t="shared" si="12"/>
        <v>6266.666666666667</v>
      </c>
      <c r="AJ42" s="144">
        <f t="shared" si="13"/>
        <v>0</v>
      </c>
      <c r="AK42" s="144">
        <f t="shared" si="14"/>
        <v>7520.0000000000009</v>
      </c>
      <c r="AL42" s="144">
        <f t="shared" si="15"/>
        <v>192734.14</v>
      </c>
      <c r="AM42" s="144">
        <f t="shared" si="16"/>
        <v>838920.14</v>
      </c>
      <c r="AN42" s="675">
        <f t="shared" si="17"/>
        <v>503352</v>
      </c>
      <c r="AO42" s="675"/>
      <c r="AP42" s="675">
        <f t="shared" si="18"/>
        <v>503352</v>
      </c>
      <c r="AQ42" s="675">
        <f t="shared" si="19"/>
        <v>167784</v>
      </c>
    </row>
    <row r="43" spans="1:43" ht="15" customHeight="1">
      <c r="A43" s="141" t="s">
        <v>539</v>
      </c>
      <c r="B43" s="240" t="s">
        <v>309</v>
      </c>
      <c r="C43" s="240" t="s">
        <v>2101</v>
      </c>
      <c r="D43" s="672"/>
      <c r="E43" s="165">
        <v>0</v>
      </c>
      <c r="F43" s="165">
        <v>4</v>
      </c>
      <c r="G43" s="165">
        <v>0</v>
      </c>
      <c r="H43" s="165">
        <v>5</v>
      </c>
      <c r="I43" s="144">
        <f t="shared" si="1"/>
        <v>9</v>
      </c>
      <c r="J43" s="672">
        <v>1.25</v>
      </c>
      <c r="K43" s="672">
        <v>1</v>
      </c>
      <c r="L43" s="672">
        <v>0</v>
      </c>
      <c r="M43" s="672">
        <v>0</v>
      </c>
      <c r="N43" s="144">
        <f t="shared" si="21"/>
        <v>2.25</v>
      </c>
      <c r="O43" s="144">
        <f t="shared" si="31"/>
        <v>1.25</v>
      </c>
      <c r="P43" s="144">
        <f t="shared" si="31"/>
        <v>5</v>
      </c>
      <c r="Q43" s="144">
        <f t="shared" si="31"/>
        <v>0</v>
      </c>
      <c r="R43" s="144">
        <f t="shared" si="31"/>
        <v>5</v>
      </c>
      <c r="S43" s="144">
        <f t="shared" si="23"/>
        <v>11.25</v>
      </c>
      <c r="T43" s="672">
        <v>1.25</v>
      </c>
      <c r="U43" s="672">
        <v>5</v>
      </c>
      <c r="V43" s="672">
        <v>0</v>
      </c>
      <c r="W43" s="672">
        <v>4.916666666666667</v>
      </c>
      <c r="X43" s="144">
        <f t="shared" si="24"/>
        <v>11.166666666666668</v>
      </c>
      <c r="Y43" s="672">
        <v>1.25</v>
      </c>
      <c r="Z43" s="672">
        <v>5</v>
      </c>
      <c r="AA43" s="672">
        <v>0</v>
      </c>
      <c r="AB43" s="672">
        <v>4.916666666666667</v>
      </c>
      <c r="AC43" s="144">
        <f t="shared" si="25"/>
        <v>11.166666666666668</v>
      </c>
      <c r="AD43" s="144">
        <f t="shared" si="7"/>
        <v>656005</v>
      </c>
      <c r="AE43" s="144">
        <f t="shared" si="8"/>
        <v>48240.000000000007</v>
      </c>
      <c r="AF43" s="144">
        <f t="shared" si="9"/>
        <v>67000</v>
      </c>
      <c r="AG43" s="144">
        <f t="shared" si="10"/>
        <v>26800.000000000004</v>
      </c>
      <c r="AH43" s="144">
        <f t="shared" si="11"/>
        <v>98266.666666666672</v>
      </c>
      <c r="AI43" s="144">
        <f t="shared" si="12"/>
        <v>8933.3333333333339</v>
      </c>
      <c r="AJ43" s="144">
        <f t="shared" si="13"/>
        <v>0</v>
      </c>
      <c r="AK43" s="144">
        <f t="shared" si="14"/>
        <v>10720.000000000002</v>
      </c>
      <c r="AL43" s="144">
        <f t="shared" si="15"/>
        <v>272891.58</v>
      </c>
      <c r="AM43" s="144">
        <f t="shared" si="16"/>
        <v>1188856.58</v>
      </c>
      <c r="AN43" s="675">
        <f t="shared" si="17"/>
        <v>713314</v>
      </c>
      <c r="AO43" s="675"/>
      <c r="AP43" s="675">
        <f t="shared" si="18"/>
        <v>713314</v>
      </c>
      <c r="AQ43" s="675">
        <f t="shared" si="19"/>
        <v>237771</v>
      </c>
    </row>
    <row r="44" spans="1:43" ht="15" customHeight="1">
      <c r="A44" s="141" t="s">
        <v>539</v>
      </c>
      <c r="B44" s="240" t="s">
        <v>2120</v>
      </c>
      <c r="C44" s="240" t="s">
        <v>2101</v>
      </c>
      <c r="D44" s="672"/>
      <c r="E44" s="165">
        <v>0</v>
      </c>
      <c r="F44" s="165">
        <v>4</v>
      </c>
      <c r="G44" s="165">
        <v>0</v>
      </c>
      <c r="H44" s="165">
        <v>5</v>
      </c>
      <c r="I44" s="144">
        <f t="shared" si="1"/>
        <v>9</v>
      </c>
      <c r="J44" s="672">
        <v>0</v>
      </c>
      <c r="K44" s="672">
        <v>0</v>
      </c>
      <c r="L44" s="672">
        <v>0</v>
      </c>
      <c r="M44" s="672">
        <v>8</v>
      </c>
      <c r="N44" s="144">
        <f t="shared" si="21"/>
        <v>8</v>
      </c>
      <c r="O44" s="144">
        <f t="shared" si="31"/>
        <v>0</v>
      </c>
      <c r="P44" s="144">
        <f t="shared" si="31"/>
        <v>4</v>
      </c>
      <c r="Q44" s="144">
        <f t="shared" si="31"/>
        <v>0</v>
      </c>
      <c r="R44" s="144">
        <f t="shared" si="31"/>
        <v>13</v>
      </c>
      <c r="S44" s="144">
        <f t="shared" si="23"/>
        <v>17</v>
      </c>
      <c r="T44" s="672">
        <v>0</v>
      </c>
      <c r="U44" s="672">
        <v>4</v>
      </c>
      <c r="V44" s="672">
        <v>1</v>
      </c>
      <c r="W44" s="672">
        <v>7</v>
      </c>
      <c r="X44" s="144">
        <f t="shared" si="24"/>
        <v>12</v>
      </c>
      <c r="Y44" s="672">
        <v>0</v>
      </c>
      <c r="Z44" s="672">
        <v>4</v>
      </c>
      <c r="AA44" s="672">
        <v>1</v>
      </c>
      <c r="AB44" s="672">
        <v>7</v>
      </c>
      <c r="AC44" s="144">
        <f t="shared" si="25"/>
        <v>12</v>
      </c>
      <c r="AD44" s="144">
        <f t="shared" si="7"/>
        <v>671328</v>
      </c>
      <c r="AE44" s="144">
        <f t="shared" si="8"/>
        <v>51840</v>
      </c>
      <c r="AF44" s="144">
        <f t="shared" si="9"/>
        <v>72000</v>
      </c>
      <c r="AG44" s="144">
        <f t="shared" si="10"/>
        <v>28800</v>
      </c>
      <c r="AH44" s="144">
        <f t="shared" si="11"/>
        <v>105600</v>
      </c>
      <c r="AI44" s="144">
        <f t="shared" si="12"/>
        <v>9600</v>
      </c>
      <c r="AJ44" s="144">
        <f t="shared" si="13"/>
        <v>0</v>
      </c>
      <c r="AK44" s="144">
        <f t="shared" si="14"/>
        <v>11520</v>
      </c>
      <c r="AL44" s="144">
        <f t="shared" si="15"/>
        <v>281230.95</v>
      </c>
      <c r="AM44" s="144">
        <f t="shared" si="16"/>
        <v>1231918.95</v>
      </c>
      <c r="AN44" s="675">
        <f t="shared" si="17"/>
        <v>739151</v>
      </c>
      <c r="AO44" s="675"/>
      <c r="AP44" s="675">
        <f t="shared" si="18"/>
        <v>739151</v>
      </c>
      <c r="AQ44" s="675">
        <f t="shared" si="19"/>
        <v>246384</v>
      </c>
    </row>
    <row r="45" spans="1:43" ht="15" customHeight="1">
      <c r="A45" s="141" t="s">
        <v>539</v>
      </c>
      <c r="B45" s="240" t="s">
        <v>2121</v>
      </c>
      <c r="C45" s="240" t="s">
        <v>2101</v>
      </c>
      <c r="D45" s="672"/>
      <c r="E45" s="165"/>
      <c r="F45" s="165"/>
      <c r="G45" s="165"/>
      <c r="H45" s="165"/>
      <c r="I45" s="144"/>
      <c r="J45" s="672"/>
      <c r="K45" s="672"/>
      <c r="L45" s="672"/>
      <c r="M45" s="672"/>
      <c r="N45" s="144"/>
      <c r="O45" s="144"/>
      <c r="P45" s="144"/>
      <c r="Q45" s="144"/>
      <c r="R45" s="144"/>
      <c r="S45" s="144"/>
      <c r="T45" s="672"/>
      <c r="U45" s="672"/>
      <c r="V45" s="672"/>
      <c r="W45" s="672"/>
      <c r="X45" s="144"/>
      <c r="Y45" s="672"/>
      <c r="Z45" s="672"/>
      <c r="AA45" s="672"/>
      <c r="AB45" s="672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>
        <f t="shared" si="16"/>
        <v>0</v>
      </c>
      <c r="AN45" s="675">
        <f t="shared" si="17"/>
        <v>0</v>
      </c>
      <c r="AO45" s="675">
        <v>20353.099999999999</v>
      </c>
      <c r="AP45" s="675">
        <f t="shared" si="18"/>
        <v>20353.099999999999</v>
      </c>
      <c r="AQ45" s="675">
        <f t="shared" si="19"/>
        <v>0</v>
      </c>
    </row>
    <row r="46" spans="1:43" ht="15" customHeight="1">
      <c r="A46" s="141" t="s">
        <v>539</v>
      </c>
      <c r="B46" s="240" t="s">
        <v>413</v>
      </c>
      <c r="C46" s="240" t="s">
        <v>2101</v>
      </c>
      <c r="D46" s="672"/>
      <c r="E46" s="165">
        <v>0</v>
      </c>
      <c r="F46" s="165">
        <v>4</v>
      </c>
      <c r="G46" s="165">
        <v>0</v>
      </c>
      <c r="H46" s="165">
        <v>5</v>
      </c>
      <c r="I46" s="144">
        <f t="shared" si="1"/>
        <v>9</v>
      </c>
      <c r="J46" s="672">
        <v>3</v>
      </c>
      <c r="K46" s="672">
        <v>0</v>
      </c>
      <c r="L46" s="672">
        <v>0</v>
      </c>
      <c r="M46" s="672">
        <v>0</v>
      </c>
      <c r="N46" s="144">
        <f t="shared" si="21"/>
        <v>3</v>
      </c>
      <c r="O46" s="144">
        <f t="shared" si="31"/>
        <v>3</v>
      </c>
      <c r="P46" s="144">
        <f t="shared" si="31"/>
        <v>4</v>
      </c>
      <c r="Q46" s="144">
        <f t="shared" si="31"/>
        <v>0</v>
      </c>
      <c r="R46" s="144">
        <f t="shared" si="31"/>
        <v>5</v>
      </c>
      <c r="S46" s="144">
        <f t="shared" si="23"/>
        <v>12</v>
      </c>
      <c r="T46" s="672">
        <v>1.3333333333333333</v>
      </c>
      <c r="U46" s="672">
        <v>6</v>
      </c>
      <c r="V46" s="672">
        <v>0</v>
      </c>
      <c r="W46" s="672">
        <v>3.8333333333333335</v>
      </c>
      <c r="X46" s="144">
        <f t="shared" si="24"/>
        <v>11.166666666666666</v>
      </c>
      <c r="Y46" s="672">
        <v>1.3333333333333333</v>
      </c>
      <c r="Z46" s="672">
        <v>6</v>
      </c>
      <c r="AA46" s="672">
        <v>0</v>
      </c>
      <c r="AB46" s="672">
        <v>3.8333333333333335</v>
      </c>
      <c r="AC46" s="144">
        <f t="shared" si="25"/>
        <v>11.166666666666666</v>
      </c>
      <c r="AD46" s="144">
        <f t="shared" si="7"/>
        <v>669772</v>
      </c>
      <c r="AE46" s="144">
        <f t="shared" si="8"/>
        <v>48240</v>
      </c>
      <c r="AF46" s="144">
        <f t="shared" si="9"/>
        <v>67000</v>
      </c>
      <c r="AG46" s="144">
        <f t="shared" si="10"/>
        <v>26800</v>
      </c>
      <c r="AH46" s="144">
        <f t="shared" si="11"/>
        <v>98266.666666666657</v>
      </c>
      <c r="AI46" s="144">
        <f t="shared" si="12"/>
        <v>8933.3333333333321</v>
      </c>
      <c r="AJ46" s="144">
        <f t="shared" si="13"/>
        <v>0</v>
      </c>
      <c r="AK46" s="144">
        <f t="shared" si="14"/>
        <v>10720</v>
      </c>
      <c r="AL46" s="144">
        <f t="shared" si="15"/>
        <v>277814.11</v>
      </c>
      <c r="AM46" s="144">
        <f t="shared" si="16"/>
        <v>1207546.1099999999</v>
      </c>
      <c r="AN46" s="675">
        <f t="shared" si="17"/>
        <v>724528</v>
      </c>
      <c r="AO46" s="675"/>
      <c r="AP46" s="675">
        <f t="shared" si="18"/>
        <v>724528</v>
      </c>
      <c r="AQ46" s="675">
        <f t="shared" si="19"/>
        <v>241509</v>
      </c>
    </row>
    <row r="47" spans="1:43" ht="15" customHeight="1">
      <c r="A47" s="141" t="s">
        <v>539</v>
      </c>
      <c r="B47" s="240" t="s">
        <v>892</v>
      </c>
      <c r="C47" s="240" t="s">
        <v>2101</v>
      </c>
      <c r="D47" s="672"/>
      <c r="E47" s="165">
        <v>0</v>
      </c>
      <c r="F47" s="165">
        <v>4</v>
      </c>
      <c r="G47" s="165">
        <v>0</v>
      </c>
      <c r="H47" s="165">
        <v>5</v>
      </c>
      <c r="I47" s="144">
        <f t="shared" si="1"/>
        <v>9</v>
      </c>
      <c r="J47" s="672">
        <v>0</v>
      </c>
      <c r="K47" s="672">
        <v>0</v>
      </c>
      <c r="L47" s="672">
        <v>0</v>
      </c>
      <c r="M47" s="672">
        <v>0</v>
      </c>
      <c r="N47" s="144">
        <f t="shared" si="21"/>
        <v>0</v>
      </c>
      <c r="O47" s="144">
        <f t="shared" si="31"/>
        <v>0</v>
      </c>
      <c r="P47" s="144">
        <f t="shared" si="31"/>
        <v>4</v>
      </c>
      <c r="Q47" s="144">
        <f t="shared" si="31"/>
        <v>0</v>
      </c>
      <c r="R47" s="144">
        <f t="shared" si="31"/>
        <v>5</v>
      </c>
      <c r="S47" s="144">
        <f t="shared" si="23"/>
        <v>9</v>
      </c>
      <c r="T47" s="672">
        <v>0.58333333333333337</v>
      </c>
      <c r="U47" s="672">
        <v>3</v>
      </c>
      <c r="V47" s="672">
        <v>0</v>
      </c>
      <c r="W47" s="672">
        <v>3</v>
      </c>
      <c r="X47" s="144">
        <f t="shared" si="24"/>
        <v>6.5833333333333339</v>
      </c>
      <c r="Y47" s="672">
        <v>0.58333333333333337</v>
      </c>
      <c r="Z47" s="672">
        <v>3</v>
      </c>
      <c r="AA47" s="672">
        <v>0</v>
      </c>
      <c r="AB47" s="672">
        <v>3</v>
      </c>
      <c r="AC47" s="144">
        <f t="shared" si="25"/>
        <v>6.5833333333333339</v>
      </c>
      <c r="AD47" s="144">
        <f t="shared" si="7"/>
        <v>384119</v>
      </c>
      <c r="AE47" s="144">
        <f t="shared" si="8"/>
        <v>28440.000000000004</v>
      </c>
      <c r="AF47" s="144">
        <f t="shared" si="9"/>
        <v>39500</v>
      </c>
      <c r="AG47" s="144">
        <f t="shared" si="10"/>
        <v>15800.000000000002</v>
      </c>
      <c r="AH47" s="144">
        <f t="shared" si="11"/>
        <v>57933.333333333336</v>
      </c>
      <c r="AI47" s="144">
        <f t="shared" si="12"/>
        <v>5266.666666666667</v>
      </c>
      <c r="AJ47" s="144">
        <f t="shared" si="13"/>
        <v>0</v>
      </c>
      <c r="AK47" s="144">
        <f t="shared" si="14"/>
        <v>6320.0000000000009</v>
      </c>
      <c r="AL47" s="144">
        <f t="shared" si="15"/>
        <v>159943.38</v>
      </c>
      <c r="AM47" s="144">
        <f t="shared" si="16"/>
        <v>697322.38</v>
      </c>
      <c r="AN47" s="675">
        <f t="shared" si="17"/>
        <v>418393</v>
      </c>
      <c r="AO47" s="675"/>
      <c r="AP47" s="675">
        <f t="shared" si="18"/>
        <v>418393</v>
      </c>
      <c r="AQ47" s="675">
        <f t="shared" si="19"/>
        <v>139464</v>
      </c>
    </row>
    <row r="48" spans="1:43" ht="15" customHeight="1">
      <c r="A48" s="141" t="s">
        <v>539</v>
      </c>
      <c r="B48" s="240" t="s">
        <v>891</v>
      </c>
      <c r="C48" s="240" t="s">
        <v>2101</v>
      </c>
      <c r="D48" s="672"/>
      <c r="E48" s="165">
        <v>0</v>
      </c>
      <c r="F48" s="165">
        <v>4</v>
      </c>
      <c r="G48" s="165">
        <v>0</v>
      </c>
      <c r="H48" s="165">
        <v>6</v>
      </c>
      <c r="I48" s="144">
        <f t="shared" si="1"/>
        <v>10</v>
      </c>
      <c r="J48" s="672">
        <v>5</v>
      </c>
      <c r="K48" s="672">
        <v>0</v>
      </c>
      <c r="L48" s="672">
        <v>0</v>
      </c>
      <c r="M48" s="672">
        <v>0</v>
      </c>
      <c r="N48" s="144">
        <f t="shared" si="21"/>
        <v>5</v>
      </c>
      <c r="O48" s="144">
        <f t="shared" si="31"/>
        <v>5</v>
      </c>
      <c r="P48" s="144">
        <f t="shared" si="31"/>
        <v>4</v>
      </c>
      <c r="Q48" s="144">
        <f t="shared" si="31"/>
        <v>0</v>
      </c>
      <c r="R48" s="144">
        <f t="shared" si="31"/>
        <v>6</v>
      </c>
      <c r="S48" s="144">
        <f t="shared" si="23"/>
        <v>15</v>
      </c>
      <c r="T48" s="672">
        <v>2.25</v>
      </c>
      <c r="U48" s="672">
        <v>5</v>
      </c>
      <c r="V48" s="672">
        <v>0</v>
      </c>
      <c r="W48" s="672">
        <v>7.666666666666667</v>
      </c>
      <c r="X48" s="144">
        <f t="shared" si="24"/>
        <v>14.916666666666668</v>
      </c>
      <c r="Y48" s="672">
        <v>2.25</v>
      </c>
      <c r="Z48" s="672">
        <v>5</v>
      </c>
      <c r="AA48" s="672">
        <v>0</v>
      </c>
      <c r="AB48" s="672">
        <v>7.666666666666667</v>
      </c>
      <c r="AC48" s="144">
        <f t="shared" si="25"/>
        <v>14.916666666666668</v>
      </c>
      <c r="AD48" s="144">
        <f t="shared" si="7"/>
        <v>868459.00000000012</v>
      </c>
      <c r="AE48" s="144">
        <f t="shared" si="8"/>
        <v>64440.000000000007</v>
      </c>
      <c r="AF48" s="144">
        <f t="shared" si="9"/>
        <v>89500</v>
      </c>
      <c r="AG48" s="144">
        <f t="shared" si="10"/>
        <v>35800</v>
      </c>
      <c r="AH48" s="144">
        <f t="shared" si="11"/>
        <v>131266.66666666669</v>
      </c>
      <c r="AI48" s="144">
        <f t="shared" si="12"/>
        <v>11933.333333333334</v>
      </c>
      <c r="AJ48" s="144">
        <f t="shared" si="13"/>
        <v>0</v>
      </c>
      <c r="AK48" s="144">
        <f t="shared" si="14"/>
        <v>14320.000000000002</v>
      </c>
      <c r="AL48" s="144">
        <f t="shared" si="15"/>
        <v>361728.79</v>
      </c>
      <c r="AM48" s="144">
        <f t="shared" si="16"/>
        <v>1577447.79</v>
      </c>
      <c r="AN48" s="675">
        <f t="shared" si="17"/>
        <v>946469</v>
      </c>
      <c r="AO48" s="675"/>
      <c r="AP48" s="675">
        <f t="shared" si="18"/>
        <v>946469</v>
      </c>
      <c r="AQ48" s="675">
        <f t="shared" si="19"/>
        <v>315490</v>
      </c>
    </row>
    <row r="49" spans="1:43" ht="15" customHeight="1">
      <c r="A49" s="141" t="s">
        <v>539</v>
      </c>
      <c r="B49" s="240" t="s">
        <v>2122</v>
      </c>
      <c r="C49" s="240" t="s">
        <v>2099</v>
      </c>
      <c r="D49" s="672">
        <v>2</v>
      </c>
      <c r="E49" s="165">
        <v>3</v>
      </c>
      <c r="F49" s="165">
        <v>3</v>
      </c>
      <c r="G49" s="165">
        <v>23</v>
      </c>
      <c r="H49" s="165">
        <v>3</v>
      </c>
      <c r="I49" s="144">
        <f t="shared" si="1"/>
        <v>32</v>
      </c>
      <c r="J49" s="672">
        <v>1</v>
      </c>
      <c r="K49" s="672">
        <v>0</v>
      </c>
      <c r="L49" s="672">
        <v>1</v>
      </c>
      <c r="M49" s="672">
        <v>0</v>
      </c>
      <c r="N49" s="144">
        <f t="shared" si="21"/>
        <v>2</v>
      </c>
      <c r="O49" s="144">
        <f t="shared" si="31"/>
        <v>4</v>
      </c>
      <c r="P49" s="144">
        <f t="shared" si="31"/>
        <v>3</v>
      </c>
      <c r="Q49" s="144">
        <f t="shared" si="31"/>
        <v>24</v>
      </c>
      <c r="R49" s="144">
        <f t="shared" si="31"/>
        <v>3</v>
      </c>
      <c r="S49" s="144">
        <f t="shared" si="23"/>
        <v>34</v>
      </c>
      <c r="T49" s="672">
        <v>5.583333333333333</v>
      </c>
      <c r="U49" s="672">
        <v>3</v>
      </c>
      <c r="V49" s="672">
        <v>22.833333333333332</v>
      </c>
      <c r="W49" s="672">
        <v>3</v>
      </c>
      <c r="X49" s="144">
        <f t="shared" si="24"/>
        <v>34.416666666666664</v>
      </c>
      <c r="Y49" s="144">
        <v>4</v>
      </c>
      <c r="Z49" s="144">
        <v>3</v>
      </c>
      <c r="AA49" s="144">
        <v>24</v>
      </c>
      <c r="AB49" s="144">
        <v>3</v>
      </c>
      <c r="AC49" s="144">
        <f t="shared" si="25"/>
        <v>34</v>
      </c>
      <c r="AD49" s="144">
        <f t="shared" si="7"/>
        <v>2126688</v>
      </c>
      <c r="AE49" s="144">
        <f t="shared" si="8"/>
        <v>146880</v>
      </c>
      <c r="AF49" s="144">
        <f t="shared" si="9"/>
        <v>204000</v>
      </c>
      <c r="AG49" s="144">
        <f t="shared" si="10"/>
        <v>81600</v>
      </c>
      <c r="AH49" s="144">
        <f t="shared" si="11"/>
        <v>299200</v>
      </c>
      <c r="AI49" s="144">
        <f t="shared" si="12"/>
        <v>27200</v>
      </c>
      <c r="AJ49" s="144">
        <f t="shared" si="13"/>
        <v>20000</v>
      </c>
      <c r="AK49" s="144">
        <f t="shared" si="14"/>
        <v>32640</v>
      </c>
      <c r="AL49" s="144">
        <f t="shared" si="15"/>
        <v>884277.35</v>
      </c>
      <c r="AM49" s="144">
        <f t="shared" si="16"/>
        <v>3822485.35</v>
      </c>
      <c r="AN49" s="675">
        <f t="shared" si="17"/>
        <v>2293491</v>
      </c>
      <c r="AO49" s="675"/>
      <c r="AP49" s="675">
        <f t="shared" si="18"/>
        <v>2293491</v>
      </c>
      <c r="AQ49" s="675">
        <f t="shared" si="19"/>
        <v>764497</v>
      </c>
    </row>
    <row r="50" spans="1:43" ht="15" customHeight="1">
      <c r="A50" s="141" t="s">
        <v>539</v>
      </c>
      <c r="B50" s="240" t="s">
        <v>2123</v>
      </c>
      <c r="C50" s="240" t="s">
        <v>2099</v>
      </c>
      <c r="D50" s="672">
        <v>1</v>
      </c>
      <c r="E50" s="165">
        <v>2</v>
      </c>
      <c r="F50" s="165">
        <v>2</v>
      </c>
      <c r="G50" s="165">
        <v>13</v>
      </c>
      <c r="H50" s="165">
        <v>2</v>
      </c>
      <c r="I50" s="144">
        <f t="shared" si="1"/>
        <v>19</v>
      </c>
      <c r="J50" s="672">
        <v>4.833333333333333</v>
      </c>
      <c r="K50" s="672">
        <v>1</v>
      </c>
      <c r="L50" s="672">
        <v>4.833333333333333</v>
      </c>
      <c r="M50" s="672">
        <v>0</v>
      </c>
      <c r="N50" s="144">
        <f t="shared" si="21"/>
        <v>10.666666666666666</v>
      </c>
      <c r="O50" s="144">
        <f t="shared" si="31"/>
        <v>6.833333333333333</v>
      </c>
      <c r="P50" s="144">
        <f t="shared" si="31"/>
        <v>3</v>
      </c>
      <c r="Q50" s="144">
        <f t="shared" si="31"/>
        <v>17.833333333333332</v>
      </c>
      <c r="R50" s="144">
        <f t="shared" si="31"/>
        <v>2</v>
      </c>
      <c r="S50" s="144">
        <f t="shared" si="23"/>
        <v>29.666666666666664</v>
      </c>
      <c r="T50" s="672">
        <v>8.25</v>
      </c>
      <c r="U50" s="672">
        <v>3</v>
      </c>
      <c r="V50" s="672">
        <v>11.25</v>
      </c>
      <c r="W50" s="672">
        <v>2</v>
      </c>
      <c r="X50" s="144">
        <f t="shared" si="24"/>
        <v>24.5</v>
      </c>
      <c r="Y50" s="144">
        <v>8.25</v>
      </c>
      <c r="Z50" s="144">
        <v>3</v>
      </c>
      <c r="AA50" s="144">
        <v>11.25</v>
      </c>
      <c r="AB50" s="144">
        <v>2</v>
      </c>
      <c r="AC50" s="144">
        <f t="shared" si="25"/>
        <v>24.5</v>
      </c>
      <c r="AD50" s="144">
        <f t="shared" si="7"/>
        <v>1587873</v>
      </c>
      <c r="AE50" s="144">
        <f t="shared" si="8"/>
        <v>105840</v>
      </c>
      <c r="AF50" s="144">
        <f t="shared" si="9"/>
        <v>147000</v>
      </c>
      <c r="AG50" s="144">
        <f t="shared" si="10"/>
        <v>58800</v>
      </c>
      <c r="AH50" s="144">
        <f t="shared" si="11"/>
        <v>215600</v>
      </c>
      <c r="AI50" s="144">
        <f t="shared" si="12"/>
        <v>19600</v>
      </c>
      <c r="AJ50" s="144">
        <f t="shared" si="13"/>
        <v>10000</v>
      </c>
      <c r="AK50" s="144">
        <f t="shared" si="14"/>
        <v>23520</v>
      </c>
      <c r="AL50" s="144">
        <f t="shared" si="15"/>
        <v>655433.57999999996</v>
      </c>
      <c r="AM50" s="144">
        <f t="shared" si="16"/>
        <v>2823666.58</v>
      </c>
      <c r="AN50" s="675">
        <f t="shared" si="17"/>
        <v>1694200</v>
      </c>
      <c r="AO50" s="675"/>
      <c r="AP50" s="675">
        <f t="shared" si="18"/>
        <v>1694200</v>
      </c>
      <c r="AQ50" s="675">
        <f t="shared" si="19"/>
        <v>564733</v>
      </c>
    </row>
    <row r="51" spans="1:43" s="678" customFormat="1" ht="15" customHeight="1">
      <c r="A51" s="141" t="s">
        <v>539</v>
      </c>
      <c r="B51" s="240" t="s">
        <v>812</v>
      </c>
      <c r="C51" s="240" t="s">
        <v>2099</v>
      </c>
      <c r="D51" s="672">
        <v>1</v>
      </c>
      <c r="E51" s="165">
        <v>1</v>
      </c>
      <c r="F51" s="165">
        <v>1</v>
      </c>
      <c r="G51" s="165">
        <v>3</v>
      </c>
      <c r="H51" s="165">
        <v>1</v>
      </c>
      <c r="I51" s="144">
        <f t="shared" si="1"/>
        <v>6</v>
      </c>
      <c r="J51" s="672">
        <v>1</v>
      </c>
      <c r="K51" s="672">
        <v>1</v>
      </c>
      <c r="L51" s="672">
        <v>0</v>
      </c>
      <c r="M51" s="672">
        <v>0</v>
      </c>
      <c r="N51" s="144">
        <f t="shared" si="21"/>
        <v>2</v>
      </c>
      <c r="O51" s="144">
        <f t="shared" si="31"/>
        <v>2</v>
      </c>
      <c r="P51" s="144">
        <f>F51+K51</f>
        <v>2</v>
      </c>
      <c r="Q51" s="144">
        <f>G51+L51</f>
        <v>3</v>
      </c>
      <c r="R51" s="144">
        <f>H51+M51</f>
        <v>1</v>
      </c>
      <c r="S51" s="144">
        <f t="shared" si="23"/>
        <v>8</v>
      </c>
      <c r="T51" s="672">
        <v>0.9</v>
      </c>
      <c r="U51" s="672">
        <v>0.7</v>
      </c>
      <c r="V51" s="672">
        <v>1.2</v>
      </c>
      <c r="W51" s="672">
        <v>0.5</v>
      </c>
      <c r="X51" s="144">
        <f t="shared" si="24"/>
        <v>3.3</v>
      </c>
      <c r="Y51" s="144">
        <v>0.9</v>
      </c>
      <c r="Z51" s="144">
        <v>0.7</v>
      </c>
      <c r="AA51" s="144">
        <v>1.2</v>
      </c>
      <c r="AB51" s="144">
        <v>0.5</v>
      </c>
      <c r="AC51" s="144">
        <f t="shared" si="25"/>
        <v>3.3</v>
      </c>
      <c r="AD51" s="144">
        <f t="shared" si="7"/>
        <v>209377.19999999998</v>
      </c>
      <c r="AE51" s="144">
        <f t="shared" si="8"/>
        <v>14256</v>
      </c>
      <c r="AF51" s="144">
        <f t="shared" si="9"/>
        <v>19800</v>
      </c>
      <c r="AG51" s="144">
        <f t="shared" si="10"/>
        <v>7920</v>
      </c>
      <c r="AH51" s="144">
        <f t="shared" si="11"/>
        <v>29040</v>
      </c>
      <c r="AI51" s="144">
        <f t="shared" si="12"/>
        <v>2640</v>
      </c>
      <c r="AJ51" s="144">
        <f t="shared" si="13"/>
        <v>10000</v>
      </c>
      <c r="AK51" s="144">
        <f t="shared" si="14"/>
        <v>3168</v>
      </c>
      <c r="AL51" s="144">
        <f t="shared" si="15"/>
        <v>89768.01</v>
      </c>
      <c r="AM51" s="144">
        <f t="shared" si="16"/>
        <v>385969.20999999996</v>
      </c>
      <c r="AN51" s="675">
        <f t="shared" si="17"/>
        <v>231582</v>
      </c>
      <c r="AO51" s="677"/>
      <c r="AP51" s="675">
        <f t="shared" si="18"/>
        <v>231582</v>
      </c>
      <c r="AQ51" s="675">
        <f t="shared" si="19"/>
        <v>77194</v>
      </c>
    </row>
    <row r="52" spans="1:43" ht="15" customHeight="1">
      <c r="A52" s="676"/>
      <c r="B52" s="676" t="s">
        <v>2124</v>
      </c>
      <c r="C52" s="676"/>
      <c r="D52" s="146">
        <f t="shared" ref="D52:AQ52" si="32">SUM(D34:D51)</f>
        <v>16</v>
      </c>
      <c r="E52" s="146">
        <f t="shared" si="32"/>
        <v>35</v>
      </c>
      <c r="F52" s="146">
        <f t="shared" si="32"/>
        <v>59</v>
      </c>
      <c r="G52" s="146">
        <f t="shared" si="32"/>
        <v>192</v>
      </c>
      <c r="H52" s="146">
        <f t="shared" si="32"/>
        <v>67</v>
      </c>
      <c r="I52" s="146">
        <f t="shared" si="32"/>
        <v>353</v>
      </c>
      <c r="J52" s="146">
        <f t="shared" si="32"/>
        <v>27</v>
      </c>
      <c r="K52" s="146">
        <f t="shared" si="32"/>
        <v>8</v>
      </c>
      <c r="L52" s="146">
        <f t="shared" si="32"/>
        <v>8.8333333333333321</v>
      </c>
      <c r="M52" s="146">
        <f t="shared" si="32"/>
        <v>9</v>
      </c>
      <c r="N52" s="146">
        <f t="shared" si="32"/>
        <v>52.833333333333329</v>
      </c>
      <c r="O52" s="146">
        <f t="shared" si="32"/>
        <v>62</v>
      </c>
      <c r="P52" s="146">
        <f t="shared" si="32"/>
        <v>67</v>
      </c>
      <c r="Q52" s="146">
        <f t="shared" si="32"/>
        <v>200.83333333333334</v>
      </c>
      <c r="R52" s="146">
        <f t="shared" si="32"/>
        <v>76</v>
      </c>
      <c r="S52" s="146">
        <f t="shared" si="32"/>
        <v>405.83333333333331</v>
      </c>
      <c r="T52" s="146">
        <f t="shared" si="32"/>
        <v>56.31666666666667</v>
      </c>
      <c r="U52" s="146">
        <f t="shared" si="32"/>
        <v>56.366666666666667</v>
      </c>
      <c r="V52" s="146">
        <f t="shared" si="32"/>
        <v>199.86666666666665</v>
      </c>
      <c r="W52" s="146">
        <f t="shared" si="32"/>
        <v>68.583333333333343</v>
      </c>
      <c r="X52" s="146">
        <f t="shared" si="32"/>
        <v>381.13333333333338</v>
      </c>
      <c r="Y52" s="146">
        <f t="shared" si="32"/>
        <v>53.483333333333334</v>
      </c>
      <c r="Z52" s="146">
        <f t="shared" si="32"/>
        <v>56.7</v>
      </c>
      <c r="AA52" s="146">
        <f t="shared" si="32"/>
        <v>198.7</v>
      </c>
      <c r="AB52" s="146">
        <f t="shared" si="32"/>
        <v>70.25</v>
      </c>
      <c r="AC52" s="146">
        <f t="shared" si="32"/>
        <v>379.13333333333338</v>
      </c>
      <c r="AD52" s="146">
        <f t="shared" si="32"/>
        <v>23401134.199999999</v>
      </c>
      <c r="AE52" s="146">
        <f t="shared" si="32"/>
        <v>1637856</v>
      </c>
      <c r="AF52" s="146">
        <f t="shared" si="32"/>
        <v>2274800</v>
      </c>
      <c r="AG52" s="146">
        <f t="shared" si="32"/>
        <v>909920</v>
      </c>
      <c r="AH52" s="146">
        <f t="shared" si="32"/>
        <v>3336373.3333333335</v>
      </c>
      <c r="AI52" s="146">
        <f t="shared" si="32"/>
        <v>303306.66666666669</v>
      </c>
      <c r="AJ52" s="146">
        <f t="shared" si="32"/>
        <v>160000</v>
      </c>
      <c r="AK52" s="146">
        <f t="shared" si="32"/>
        <v>363968</v>
      </c>
      <c r="AL52" s="146">
        <f t="shared" si="32"/>
        <v>9725923.120000001</v>
      </c>
      <c r="AM52" s="146">
        <f t="shared" si="32"/>
        <v>42113281.319999993</v>
      </c>
      <c r="AN52" s="146">
        <f t="shared" si="32"/>
        <v>25267969</v>
      </c>
      <c r="AO52" s="146">
        <f t="shared" si="32"/>
        <v>20353.099999999999</v>
      </c>
      <c r="AP52" s="146">
        <f t="shared" si="32"/>
        <v>25288322.100000001</v>
      </c>
      <c r="AQ52" s="146">
        <f t="shared" si="32"/>
        <v>8422656</v>
      </c>
    </row>
    <row r="53" spans="1:43" ht="15" customHeight="1">
      <c r="A53" s="141" t="s">
        <v>538</v>
      </c>
      <c r="B53" s="240" t="s">
        <v>2125</v>
      </c>
      <c r="C53" s="240" t="s">
        <v>2099</v>
      </c>
      <c r="D53" s="672">
        <v>2</v>
      </c>
      <c r="E53" s="165">
        <v>5</v>
      </c>
      <c r="F53" s="165">
        <v>3</v>
      </c>
      <c r="G53" s="165">
        <v>36</v>
      </c>
      <c r="H53" s="165">
        <v>4</v>
      </c>
      <c r="I53" s="144">
        <f t="shared" si="1"/>
        <v>48</v>
      </c>
      <c r="J53" s="672">
        <v>0.25</v>
      </c>
      <c r="K53" s="672">
        <v>0</v>
      </c>
      <c r="L53" s="672">
        <v>7</v>
      </c>
      <c r="M53" s="672">
        <v>0</v>
      </c>
      <c r="N53" s="144">
        <f t="shared" si="21"/>
        <v>7.25</v>
      </c>
      <c r="O53" s="144">
        <f t="shared" ref="O53:R70" si="33">E53+J53</f>
        <v>5.25</v>
      </c>
      <c r="P53" s="144">
        <f t="shared" si="33"/>
        <v>3</v>
      </c>
      <c r="Q53" s="144">
        <f t="shared" si="33"/>
        <v>43</v>
      </c>
      <c r="R53" s="144">
        <f t="shared" si="33"/>
        <v>4</v>
      </c>
      <c r="S53" s="144">
        <f t="shared" si="23"/>
        <v>55.25</v>
      </c>
      <c r="T53" s="672">
        <v>10.583333333333334</v>
      </c>
      <c r="U53" s="672">
        <v>4.5</v>
      </c>
      <c r="V53" s="672">
        <v>34.666666666666664</v>
      </c>
      <c r="W53" s="672">
        <v>2</v>
      </c>
      <c r="X53" s="144">
        <f t="shared" si="24"/>
        <v>51.75</v>
      </c>
      <c r="Y53" s="672">
        <v>10.583333333333334</v>
      </c>
      <c r="Z53" s="672">
        <v>4.5</v>
      </c>
      <c r="AA53" s="672">
        <v>34.666666666666664</v>
      </c>
      <c r="AB53" s="672">
        <v>2</v>
      </c>
      <c r="AC53" s="144">
        <f t="shared" si="25"/>
        <v>51.75</v>
      </c>
      <c r="AD53" s="144">
        <f t="shared" si="7"/>
        <v>3310363</v>
      </c>
      <c r="AE53" s="144">
        <f t="shared" si="8"/>
        <v>223560</v>
      </c>
      <c r="AF53" s="144">
        <f t="shared" si="9"/>
        <v>310500</v>
      </c>
      <c r="AG53" s="144">
        <f t="shared" si="10"/>
        <v>124200</v>
      </c>
      <c r="AH53" s="144">
        <f t="shared" si="11"/>
        <v>455400</v>
      </c>
      <c r="AI53" s="144">
        <f t="shared" si="12"/>
        <v>41400</v>
      </c>
      <c r="AJ53" s="144">
        <f t="shared" si="13"/>
        <v>20000</v>
      </c>
      <c r="AK53" s="144">
        <f t="shared" si="14"/>
        <v>49680</v>
      </c>
      <c r="AL53" s="144">
        <f t="shared" si="15"/>
        <v>1368440.4</v>
      </c>
      <c r="AM53" s="144">
        <f t="shared" si="16"/>
        <v>5903543.4000000004</v>
      </c>
      <c r="AN53" s="675">
        <f t="shared" si="17"/>
        <v>3542126</v>
      </c>
      <c r="AO53" s="675"/>
      <c r="AP53" s="675">
        <f t="shared" si="18"/>
        <v>3542126</v>
      </c>
      <c r="AQ53" s="675">
        <f t="shared" si="19"/>
        <v>1180709</v>
      </c>
    </row>
    <row r="54" spans="1:43" ht="15" customHeight="1">
      <c r="A54" s="141" t="s">
        <v>538</v>
      </c>
      <c r="B54" s="240" t="s">
        <v>2126</v>
      </c>
      <c r="C54" s="240" t="s">
        <v>2099</v>
      </c>
      <c r="D54" s="672">
        <v>2</v>
      </c>
      <c r="E54" s="165">
        <v>3</v>
      </c>
      <c r="F54" s="165">
        <v>3</v>
      </c>
      <c r="G54" s="165">
        <v>27</v>
      </c>
      <c r="H54" s="165">
        <v>3</v>
      </c>
      <c r="I54" s="144">
        <f t="shared" si="1"/>
        <v>36</v>
      </c>
      <c r="J54" s="672">
        <v>13</v>
      </c>
      <c r="K54" s="672">
        <v>0</v>
      </c>
      <c r="L54" s="672">
        <v>0</v>
      </c>
      <c r="M54" s="672">
        <v>0</v>
      </c>
      <c r="N54" s="144">
        <f t="shared" si="21"/>
        <v>13</v>
      </c>
      <c r="O54" s="144">
        <f t="shared" si="33"/>
        <v>16</v>
      </c>
      <c r="P54" s="144">
        <f t="shared" si="33"/>
        <v>3</v>
      </c>
      <c r="Q54" s="144">
        <f t="shared" si="33"/>
        <v>27</v>
      </c>
      <c r="R54" s="144">
        <f t="shared" si="33"/>
        <v>3</v>
      </c>
      <c r="S54" s="144">
        <f t="shared" si="23"/>
        <v>49</v>
      </c>
      <c r="T54" s="672">
        <v>13.083333333333334</v>
      </c>
      <c r="U54" s="672">
        <v>4</v>
      </c>
      <c r="V54" s="672">
        <v>22.916666666666668</v>
      </c>
      <c r="W54" s="672">
        <v>3.5</v>
      </c>
      <c r="X54" s="144">
        <f t="shared" si="24"/>
        <v>43.5</v>
      </c>
      <c r="Y54" s="672">
        <v>13.083333333333334</v>
      </c>
      <c r="Z54" s="672">
        <v>4</v>
      </c>
      <c r="AA54" s="672">
        <v>22.916666666666668</v>
      </c>
      <c r="AB54" s="672">
        <v>3.5</v>
      </c>
      <c r="AC54" s="144">
        <f t="shared" si="25"/>
        <v>43.5</v>
      </c>
      <c r="AD54" s="144">
        <f t="shared" si="7"/>
        <v>2803519</v>
      </c>
      <c r="AE54" s="144">
        <f t="shared" si="8"/>
        <v>187920</v>
      </c>
      <c r="AF54" s="144">
        <f t="shared" si="9"/>
        <v>261000</v>
      </c>
      <c r="AG54" s="144">
        <f t="shared" si="10"/>
        <v>104400</v>
      </c>
      <c r="AH54" s="144">
        <f t="shared" si="11"/>
        <v>382800</v>
      </c>
      <c r="AI54" s="144">
        <f t="shared" si="12"/>
        <v>34800</v>
      </c>
      <c r="AJ54" s="144">
        <f t="shared" si="13"/>
        <v>20000</v>
      </c>
      <c r="AK54" s="144">
        <f t="shared" si="14"/>
        <v>41760</v>
      </c>
      <c r="AL54" s="144">
        <f t="shared" si="15"/>
        <v>1158894.51</v>
      </c>
      <c r="AM54" s="144">
        <f t="shared" si="16"/>
        <v>4995093.51</v>
      </c>
      <c r="AN54" s="675">
        <f t="shared" si="17"/>
        <v>2997056</v>
      </c>
      <c r="AO54" s="675"/>
      <c r="AP54" s="675">
        <f t="shared" si="18"/>
        <v>2997056</v>
      </c>
      <c r="AQ54" s="675">
        <f t="shared" si="19"/>
        <v>999019</v>
      </c>
    </row>
    <row r="55" spans="1:43" ht="15" customHeight="1">
      <c r="A55" s="141" t="s">
        <v>538</v>
      </c>
      <c r="B55" s="240" t="s">
        <v>428</v>
      </c>
      <c r="C55" s="240" t="s">
        <v>2099</v>
      </c>
      <c r="D55" s="672">
        <v>2</v>
      </c>
      <c r="E55" s="165">
        <v>6</v>
      </c>
      <c r="F55" s="165">
        <v>3</v>
      </c>
      <c r="G55" s="165">
        <v>44</v>
      </c>
      <c r="H55" s="165">
        <v>5</v>
      </c>
      <c r="I55" s="144">
        <f t="shared" si="1"/>
        <v>58</v>
      </c>
      <c r="J55" s="672">
        <v>10</v>
      </c>
      <c r="K55" s="672">
        <v>2</v>
      </c>
      <c r="L55" s="672">
        <v>3</v>
      </c>
      <c r="M55" s="672">
        <v>1</v>
      </c>
      <c r="N55" s="144">
        <f t="shared" si="21"/>
        <v>16</v>
      </c>
      <c r="O55" s="144">
        <f t="shared" si="33"/>
        <v>16</v>
      </c>
      <c r="P55" s="144">
        <f t="shared" si="33"/>
        <v>5</v>
      </c>
      <c r="Q55" s="144">
        <f t="shared" si="33"/>
        <v>47</v>
      </c>
      <c r="R55" s="144">
        <f t="shared" si="33"/>
        <v>6</v>
      </c>
      <c r="S55" s="144">
        <f t="shared" si="23"/>
        <v>74</v>
      </c>
      <c r="T55" s="672">
        <v>12.666666666666666</v>
      </c>
      <c r="U55" s="672">
        <v>7.75</v>
      </c>
      <c r="V55" s="672">
        <v>40</v>
      </c>
      <c r="W55" s="672">
        <v>4.666666666666667</v>
      </c>
      <c r="X55" s="144">
        <f t="shared" si="24"/>
        <v>65.083333333333329</v>
      </c>
      <c r="Y55" s="672">
        <v>12.666666666666666</v>
      </c>
      <c r="Z55" s="672">
        <v>7.75</v>
      </c>
      <c r="AA55" s="672">
        <v>40</v>
      </c>
      <c r="AB55" s="672">
        <v>4.666666666666667</v>
      </c>
      <c r="AC55" s="144">
        <f t="shared" si="25"/>
        <v>65.083333333333329</v>
      </c>
      <c r="AD55" s="144">
        <f t="shared" si="7"/>
        <v>4133953.9999999995</v>
      </c>
      <c r="AE55" s="144">
        <f t="shared" si="8"/>
        <v>281160</v>
      </c>
      <c r="AF55" s="144">
        <f t="shared" si="9"/>
        <v>390500</v>
      </c>
      <c r="AG55" s="144">
        <f t="shared" si="10"/>
        <v>156200</v>
      </c>
      <c r="AH55" s="144">
        <f t="shared" si="11"/>
        <v>572733.33333333326</v>
      </c>
      <c r="AI55" s="144">
        <f t="shared" si="12"/>
        <v>52066.666666666664</v>
      </c>
      <c r="AJ55" s="144">
        <f t="shared" si="13"/>
        <v>20000</v>
      </c>
      <c r="AK55" s="144">
        <f t="shared" si="14"/>
        <v>62479.999999999993</v>
      </c>
      <c r="AL55" s="144">
        <f t="shared" si="15"/>
        <v>1708691.28</v>
      </c>
      <c r="AM55" s="144">
        <f t="shared" si="16"/>
        <v>7377785.2800000003</v>
      </c>
      <c r="AN55" s="675">
        <f t="shared" si="17"/>
        <v>4426671</v>
      </c>
      <c r="AO55" s="675"/>
      <c r="AP55" s="675">
        <f t="shared" si="18"/>
        <v>4426671</v>
      </c>
      <c r="AQ55" s="675">
        <f t="shared" si="19"/>
        <v>1475557</v>
      </c>
    </row>
    <row r="56" spans="1:43" ht="15" customHeight="1">
      <c r="A56" s="141" t="s">
        <v>538</v>
      </c>
      <c r="B56" s="240" t="s">
        <v>2127</v>
      </c>
      <c r="C56" s="240" t="s">
        <v>2099</v>
      </c>
      <c r="D56" s="672">
        <v>2</v>
      </c>
      <c r="E56" s="165">
        <v>4</v>
      </c>
      <c r="F56" s="165">
        <v>3</v>
      </c>
      <c r="G56" s="165">
        <v>33</v>
      </c>
      <c r="H56" s="165">
        <v>4</v>
      </c>
      <c r="I56" s="144">
        <f t="shared" si="1"/>
        <v>44</v>
      </c>
      <c r="J56" s="672">
        <v>7</v>
      </c>
      <c r="K56" s="672">
        <v>0</v>
      </c>
      <c r="L56" s="672">
        <v>1.9166666666666667</v>
      </c>
      <c r="M56" s="672">
        <v>0.33333333333333331</v>
      </c>
      <c r="N56" s="144">
        <f t="shared" si="21"/>
        <v>9.25</v>
      </c>
      <c r="O56" s="144">
        <f t="shared" si="33"/>
        <v>11</v>
      </c>
      <c r="P56" s="144">
        <f t="shared" si="33"/>
        <v>3</v>
      </c>
      <c r="Q56" s="144">
        <f t="shared" si="33"/>
        <v>34.916666666666664</v>
      </c>
      <c r="R56" s="144">
        <f t="shared" si="33"/>
        <v>4.333333333333333</v>
      </c>
      <c r="S56" s="144">
        <f t="shared" si="23"/>
        <v>53.25</v>
      </c>
      <c r="T56" s="672">
        <v>6.083333333333333</v>
      </c>
      <c r="U56" s="672">
        <v>2</v>
      </c>
      <c r="V56" s="672">
        <v>33</v>
      </c>
      <c r="W56" s="672">
        <v>4.083333333333333</v>
      </c>
      <c r="X56" s="144">
        <f t="shared" si="24"/>
        <v>45.166666666666664</v>
      </c>
      <c r="Y56" s="672">
        <v>6.083333333333333</v>
      </c>
      <c r="Z56" s="672">
        <v>2</v>
      </c>
      <c r="AA56" s="672">
        <v>33</v>
      </c>
      <c r="AB56" s="672">
        <v>4.083333333333333</v>
      </c>
      <c r="AC56" s="144">
        <f t="shared" si="25"/>
        <v>45.166666666666664</v>
      </c>
      <c r="AD56" s="144">
        <f t="shared" si="7"/>
        <v>2830315</v>
      </c>
      <c r="AE56" s="144">
        <f t="shared" si="8"/>
        <v>195120</v>
      </c>
      <c r="AF56" s="144">
        <f t="shared" si="9"/>
        <v>271000</v>
      </c>
      <c r="AG56" s="144">
        <f t="shared" si="10"/>
        <v>108400</v>
      </c>
      <c r="AH56" s="144">
        <f t="shared" si="11"/>
        <v>397466.66666666663</v>
      </c>
      <c r="AI56" s="144">
        <f t="shared" si="12"/>
        <v>36133.333333333328</v>
      </c>
      <c r="AJ56" s="144">
        <f t="shared" si="13"/>
        <v>20000</v>
      </c>
      <c r="AK56" s="144">
        <f t="shared" si="14"/>
        <v>43360</v>
      </c>
      <c r="AL56" s="144">
        <f t="shared" si="15"/>
        <v>1174196.6499999999</v>
      </c>
      <c r="AM56" s="144">
        <f t="shared" si="16"/>
        <v>5075991.6500000004</v>
      </c>
      <c r="AN56" s="675">
        <f t="shared" si="17"/>
        <v>3045595</v>
      </c>
      <c r="AO56" s="675"/>
      <c r="AP56" s="675">
        <f t="shared" si="18"/>
        <v>3045595</v>
      </c>
      <c r="AQ56" s="675">
        <f t="shared" si="19"/>
        <v>1015198</v>
      </c>
    </row>
    <row r="57" spans="1:43" ht="15" customHeight="1">
      <c r="A57" s="141" t="s">
        <v>538</v>
      </c>
      <c r="B57" s="240" t="s">
        <v>2128</v>
      </c>
      <c r="C57" s="240" t="s">
        <v>2101</v>
      </c>
      <c r="D57" s="672"/>
      <c r="E57" s="165">
        <v>6</v>
      </c>
      <c r="F57" s="165">
        <v>5</v>
      </c>
      <c r="G57" s="165">
        <v>0</v>
      </c>
      <c r="H57" s="165">
        <v>7</v>
      </c>
      <c r="I57" s="144">
        <f t="shared" si="1"/>
        <v>18</v>
      </c>
      <c r="J57" s="672">
        <v>3</v>
      </c>
      <c r="K57" s="672">
        <v>0</v>
      </c>
      <c r="L57" s="672">
        <v>0</v>
      </c>
      <c r="M57" s="672">
        <v>1</v>
      </c>
      <c r="N57" s="144">
        <f t="shared" si="21"/>
        <v>4</v>
      </c>
      <c r="O57" s="144">
        <f t="shared" si="33"/>
        <v>9</v>
      </c>
      <c r="P57" s="144">
        <f t="shared" si="33"/>
        <v>5</v>
      </c>
      <c r="Q57" s="144">
        <f t="shared" si="33"/>
        <v>0</v>
      </c>
      <c r="R57" s="144">
        <f t="shared" si="33"/>
        <v>8</v>
      </c>
      <c r="S57" s="144">
        <f t="shared" si="23"/>
        <v>22</v>
      </c>
      <c r="T57" s="672">
        <v>6.333333333333333</v>
      </c>
      <c r="U57" s="672">
        <v>4.083333333333333</v>
      </c>
      <c r="V57" s="672">
        <v>0</v>
      </c>
      <c r="W57" s="672">
        <v>9.25</v>
      </c>
      <c r="X57" s="144">
        <f t="shared" si="24"/>
        <v>19.666666666666664</v>
      </c>
      <c r="Y57" s="672">
        <v>6.333333333333333</v>
      </c>
      <c r="Z57" s="672">
        <v>4.083333333333333</v>
      </c>
      <c r="AA57" s="672">
        <v>0</v>
      </c>
      <c r="AB57" s="672">
        <v>9.25</v>
      </c>
      <c r="AC57" s="144">
        <f t="shared" si="25"/>
        <v>19.666666666666664</v>
      </c>
      <c r="AD57" s="144">
        <f t="shared" si="7"/>
        <v>1186292</v>
      </c>
      <c r="AE57" s="144">
        <f t="shared" si="8"/>
        <v>84959.999999999985</v>
      </c>
      <c r="AF57" s="144">
        <f t="shared" si="9"/>
        <v>117999.99999999999</v>
      </c>
      <c r="AG57" s="144">
        <f t="shared" si="10"/>
        <v>47199.999999999993</v>
      </c>
      <c r="AH57" s="144">
        <f t="shared" si="11"/>
        <v>173066.66666666666</v>
      </c>
      <c r="AI57" s="144">
        <f t="shared" si="12"/>
        <v>15733.333333333332</v>
      </c>
      <c r="AJ57" s="144">
        <f t="shared" si="13"/>
        <v>0</v>
      </c>
      <c r="AK57" s="144">
        <f t="shared" si="14"/>
        <v>18879.999999999996</v>
      </c>
      <c r="AL57" s="144">
        <f t="shared" si="15"/>
        <v>491677.9</v>
      </c>
      <c r="AM57" s="144">
        <f t="shared" si="16"/>
        <v>2135809.9</v>
      </c>
      <c r="AN57" s="675">
        <f t="shared" si="17"/>
        <v>1281486</v>
      </c>
      <c r="AO57" s="675"/>
      <c r="AP57" s="675">
        <f t="shared" si="18"/>
        <v>1281486</v>
      </c>
      <c r="AQ57" s="675">
        <f t="shared" si="19"/>
        <v>427162</v>
      </c>
    </row>
    <row r="58" spans="1:43" ht="15" customHeight="1">
      <c r="A58" s="141" t="s">
        <v>538</v>
      </c>
      <c r="B58" s="240" t="s">
        <v>896</v>
      </c>
      <c r="C58" s="240" t="s">
        <v>2101</v>
      </c>
      <c r="D58" s="672"/>
      <c r="E58" s="165">
        <v>0</v>
      </c>
      <c r="F58" s="165">
        <v>4</v>
      </c>
      <c r="G58" s="165">
        <v>0</v>
      </c>
      <c r="H58" s="165">
        <v>5</v>
      </c>
      <c r="I58" s="144">
        <f t="shared" si="1"/>
        <v>9</v>
      </c>
      <c r="J58" s="672">
        <v>5.5</v>
      </c>
      <c r="K58" s="672">
        <v>2</v>
      </c>
      <c r="L58" s="672">
        <v>0</v>
      </c>
      <c r="M58" s="672">
        <v>0</v>
      </c>
      <c r="N58" s="144">
        <f t="shared" si="21"/>
        <v>7.5</v>
      </c>
      <c r="O58" s="144">
        <f t="shared" si="33"/>
        <v>5.5</v>
      </c>
      <c r="P58" s="144">
        <f t="shared" si="33"/>
        <v>6</v>
      </c>
      <c r="Q58" s="144">
        <f t="shared" si="33"/>
        <v>0</v>
      </c>
      <c r="R58" s="144">
        <f t="shared" si="33"/>
        <v>5</v>
      </c>
      <c r="S58" s="144">
        <f t="shared" si="23"/>
        <v>16.5</v>
      </c>
      <c r="T58" s="672">
        <v>3.9166666666666665</v>
      </c>
      <c r="U58" s="672">
        <v>5.583333333333333</v>
      </c>
      <c r="V58" s="672">
        <v>1</v>
      </c>
      <c r="W58" s="672">
        <v>4.166666666666667</v>
      </c>
      <c r="X58" s="144">
        <f t="shared" si="24"/>
        <v>14.666666666666668</v>
      </c>
      <c r="Y58" s="672">
        <v>3.9166666666666665</v>
      </c>
      <c r="Z58" s="672">
        <v>5.583333333333333</v>
      </c>
      <c r="AA58" s="672">
        <v>1</v>
      </c>
      <c r="AB58" s="672">
        <v>4.166666666666667</v>
      </c>
      <c r="AC58" s="144">
        <f t="shared" si="25"/>
        <v>14.666666666666668</v>
      </c>
      <c r="AD58" s="144">
        <f t="shared" si="7"/>
        <v>909376.99999999988</v>
      </c>
      <c r="AE58" s="144">
        <f t="shared" si="8"/>
        <v>63360.000000000007</v>
      </c>
      <c r="AF58" s="144">
        <f t="shared" si="9"/>
        <v>88000</v>
      </c>
      <c r="AG58" s="144">
        <f t="shared" si="10"/>
        <v>35200</v>
      </c>
      <c r="AH58" s="144">
        <f t="shared" si="11"/>
        <v>129066.66666666667</v>
      </c>
      <c r="AI58" s="144">
        <f t="shared" si="12"/>
        <v>11733.333333333334</v>
      </c>
      <c r="AJ58" s="144">
        <f t="shared" si="13"/>
        <v>0</v>
      </c>
      <c r="AK58" s="144">
        <f t="shared" si="14"/>
        <v>14080.000000000002</v>
      </c>
      <c r="AL58" s="144">
        <f t="shared" si="15"/>
        <v>375501.29</v>
      </c>
      <c r="AM58" s="144">
        <f t="shared" si="16"/>
        <v>1626318.29</v>
      </c>
      <c r="AN58" s="675">
        <f t="shared" si="17"/>
        <v>975791</v>
      </c>
      <c r="AO58" s="675"/>
      <c r="AP58" s="675">
        <f t="shared" si="18"/>
        <v>975791</v>
      </c>
      <c r="AQ58" s="675">
        <f t="shared" si="19"/>
        <v>325264</v>
      </c>
    </row>
    <row r="59" spans="1:43" ht="15" customHeight="1">
      <c r="A59" s="141" t="s">
        <v>538</v>
      </c>
      <c r="B59" s="240" t="s">
        <v>898</v>
      </c>
      <c r="C59" s="240" t="s">
        <v>2101</v>
      </c>
      <c r="D59" s="672"/>
      <c r="E59" s="165">
        <v>0</v>
      </c>
      <c r="F59" s="165">
        <v>4.5</v>
      </c>
      <c r="G59" s="165">
        <v>0</v>
      </c>
      <c r="H59" s="165">
        <v>5.5</v>
      </c>
      <c r="I59" s="144">
        <f t="shared" si="1"/>
        <v>10</v>
      </c>
      <c r="J59" s="672">
        <v>4.25</v>
      </c>
      <c r="K59" s="672">
        <v>0</v>
      </c>
      <c r="L59" s="672">
        <v>0</v>
      </c>
      <c r="M59" s="672">
        <v>0</v>
      </c>
      <c r="N59" s="144">
        <f t="shared" si="21"/>
        <v>4.25</v>
      </c>
      <c r="O59" s="144">
        <f t="shared" si="33"/>
        <v>4.25</v>
      </c>
      <c r="P59" s="144">
        <f t="shared" si="33"/>
        <v>4.5</v>
      </c>
      <c r="Q59" s="144">
        <f t="shared" si="33"/>
        <v>0</v>
      </c>
      <c r="R59" s="144">
        <f t="shared" si="33"/>
        <v>5.5</v>
      </c>
      <c r="S59" s="144">
        <f t="shared" si="23"/>
        <v>14.25</v>
      </c>
      <c r="T59" s="672">
        <v>3.25</v>
      </c>
      <c r="U59" s="672">
        <v>3.9166666666666665</v>
      </c>
      <c r="V59" s="672">
        <v>0</v>
      </c>
      <c r="W59" s="672">
        <v>7.75</v>
      </c>
      <c r="X59" s="144">
        <f t="shared" si="24"/>
        <v>14.916666666666666</v>
      </c>
      <c r="Y59" s="672">
        <v>4.25</v>
      </c>
      <c r="Z59" s="672">
        <v>4.5</v>
      </c>
      <c r="AA59" s="672">
        <v>0</v>
      </c>
      <c r="AB59" s="672">
        <v>5.5</v>
      </c>
      <c r="AC59" s="144">
        <f t="shared" si="25"/>
        <v>14.25</v>
      </c>
      <c r="AD59" s="144">
        <f t="shared" si="7"/>
        <v>870867</v>
      </c>
      <c r="AE59" s="144">
        <f t="shared" si="8"/>
        <v>61560</v>
      </c>
      <c r="AF59" s="144">
        <f t="shared" si="9"/>
        <v>85500</v>
      </c>
      <c r="AG59" s="144">
        <f t="shared" si="10"/>
        <v>34200</v>
      </c>
      <c r="AH59" s="144">
        <f t="shared" si="11"/>
        <v>125400</v>
      </c>
      <c r="AI59" s="144">
        <f t="shared" si="12"/>
        <v>11400</v>
      </c>
      <c r="AJ59" s="144">
        <f t="shared" si="13"/>
        <v>0</v>
      </c>
      <c r="AK59" s="144">
        <f t="shared" si="14"/>
        <v>13680</v>
      </c>
      <c r="AL59" s="144">
        <f t="shared" si="15"/>
        <v>360301.41</v>
      </c>
      <c r="AM59" s="144">
        <f t="shared" si="16"/>
        <v>1562908.41</v>
      </c>
      <c r="AN59" s="675">
        <f t="shared" si="17"/>
        <v>937745</v>
      </c>
      <c r="AO59" s="675"/>
      <c r="AP59" s="675">
        <f t="shared" si="18"/>
        <v>937745</v>
      </c>
      <c r="AQ59" s="675">
        <f t="shared" si="19"/>
        <v>312582</v>
      </c>
    </row>
    <row r="60" spans="1:43" ht="15" customHeight="1">
      <c r="A60" s="141" t="s">
        <v>538</v>
      </c>
      <c r="B60" s="240" t="s">
        <v>897</v>
      </c>
      <c r="C60" s="240" t="s">
        <v>2101</v>
      </c>
      <c r="D60" s="672"/>
      <c r="E60" s="165">
        <v>4</v>
      </c>
      <c r="F60" s="165">
        <v>5</v>
      </c>
      <c r="G60" s="165">
        <v>0</v>
      </c>
      <c r="H60" s="165">
        <v>5.5</v>
      </c>
      <c r="I60" s="144">
        <f t="shared" si="1"/>
        <v>14.5</v>
      </c>
      <c r="J60" s="672">
        <v>5</v>
      </c>
      <c r="K60" s="672">
        <v>0</v>
      </c>
      <c r="L60" s="672">
        <v>0</v>
      </c>
      <c r="M60" s="672">
        <v>0</v>
      </c>
      <c r="N60" s="144">
        <f t="shared" si="21"/>
        <v>5</v>
      </c>
      <c r="O60" s="144">
        <f t="shared" si="33"/>
        <v>9</v>
      </c>
      <c r="P60" s="144">
        <f t="shared" si="33"/>
        <v>5</v>
      </c>
      <c r="Q60" s="144">
        <f t="shared" si="33"/>
        <v>0</v>
      </c>
      <c r="R60" s="144">
        <f t="shared" si="33"/>
        <v>5.5</v>
      </c>
      <c r="S60" s="144">
        <f t="shared" si="23"/>
        <v>19.5</v>
      </c>
      <c r="T60" s="672">
        <v>6.583333333333333</v>
      </c>
      <c r="U60" s="672">
        <v>5</v>
      </c>
      <c r="V60" s="672">
        <v>0</v>
      </c>
      <c r="W60" s="672">
        <v>8</v>
      </c>
      <c r="X60" s="144">
        <f t="shared" si="24"/>
        <v>19.583333333333332</v>
      </c>
      <c r="Y60" s="672">
        <v>9</v>
      </c>
      <c r="Z60" s="672">
        <v>5</v>
      </c>
      <c r="AA60" s="672">
        <v>0</v>
      </c>
      <c r="AB60" s="672">
        <v>5.5</v>
      </c>
      <c r="AC60" s="144">
        <f t="shared" si="25"/>
        <v>19.5</v>
      </c>
      <c r="AD60" s="144">
        <f t="shared" si="7"/>
        <v>1245336</v>
      </c>
      <c r="AE60" s="144">
        <f t="shared" si="8"/>
        <v>84240</v>
      </c>
      <c r="AF60" s="144">
        <f t="shared" si="9"/>
        <v>117000</v>
      </c>
      <c r="AG60" s="144">
        <f t="shared" si="10"/>
        <v>46800</v>
      </c>
      <c r="AH60" s="144">
        <f t="shared" si="11"/>
        <v>171600</v>
      </c>
      <c r="AI60" s="144">
        <f t="shared" si="12"/>
        <v>15600</v>
      </c>
      <c r="AJ60" s="144">
        <f t="shared" si="13"/>
        <v>0</v>
      </c>
      <c r="AK60" s="144">
        <f t="shared" si="14"/>
        <v>18720</v>
      </c>
      <c r="AL60" s="144">
        <f t="shared" si="15"/>
        <v>512217.57</v>
      </c>
      <c r="AM60" s="144">
        <f t="shared" si="16"/>
        <v>2211513.5699999998</v>
      </c>
      <c r="AN60" s="675">
        <f t="shared" si="17"/>
        <v>1326908</v>
      </c>
      <c r="AO60" s="675"/>
      <c r="AP60" s="675">
        <f t="shared" si="18"/>
        <v>1326908</v>
      </c>
      <c r="AQ60" s="675">
        <f t="shared" si="19"/>
        <v>442303</v>
      </c>
    </row>
    <row r="61" spans="1:43" ht="15" customHeight="1">
      <c r="A61" s="141" t="s">
        <v>538</v>
      </c>
      <c r="B61" s="240" t="s">
        <v>2129</v>
      </c>
      <c r="C61" s="240" t="s">
        <v>2101</v>
      </c>
      <c r="D61" s="672"/>
      <c r="E61" s="165">
        <v>0</v>
      </c>
      <c r="F61" s="165">
        <v>5</v>
      </c>
      <c r="G61" s="165">
        <v>0</v>
      </c>
      <c r="H61" s="165">
        <v>5</v>
      </c>
      <c r="I61" s="144">
        <f t="shared" si="1"/>
        <v>10</v>
      </c>
      <c r="J61" s="672">
        <v>6</v>
      </c>
      <c r="K61" s="672">
        <v>2</v>
      </c>
      <c r="L61" s="672">
        <v>0</v>
      </c>
      <c r="M61" s="672">
        <v>0</v>
      </c>
      <c r="N61" s="144">
        <f t="shared" si="21"/>
        <v>8</v>
      </c>
      <c r="O61" s="144">
        <f t="shared" si="33"/>
        <v>6</v>
      </c>
      <c r="P61" s="144">
        <f t="shared" si="33"/>
        <v>7</v>
      </c>
      <c r="Q61" s="144">
        <f t="shared" si="33"/>
        <v>0</v>
      </c>
      <c r="R61" s="144">
        <f t="shared" si="33"/>
        <v>5</v>
      </c>
      <c r="S61" s="144">
        <f t="shared" si="23"/>
        <v>18</v>
      </c>
      <c r="T61" s="672">
        <v>3.8333333333333335</v>
      </c>
      <c r="U61" s="672">
        <v>2</v>
      </c>
      <c r="V61" s="672">
        <v>0</v>
      </c>
      <c r="W61" s="672">
        <v>6.333333333333333</v>
      </c>
      <c r="X61" s="144">
        <f t="shared" si="24"/>
        <v>12.166666666666668</v>
      </c>
      <c r="Y61" s="672">
        <v>3.8333333333333335</v>
      </c>
      <c r="Z61" s="672">
        <v>2</v>
      </c>
      <c r="AA61" s="672">
        <v>0</v>
      </c>
      <c r="AB61" s="672">
        <v>6.333333333333333</v>
      </c>
      <c r="AC61" s="144">
        <f t="shared" si="25"/>
        <v>12.166666666666668</v>
      </c>
      <c r="AD61" s="144">
        <f t="shared" si="7"/>
        <v>725782</v>
      </c>
      <c r="AE61" s="144">
        <f t="shared" si="8"/>
        <v>52560.000000000007</v>
      </c>
      <c r="AF61" s="144">
        <f t="shared" si="9"/>
        <v>73000</v>
      </c>
      <c r="AG61" s="144">
        <f t="shared" si="10"/>
        <v>29200.000000000004</v>
      </c>
      <c r="AH61" s="144">
        <f t="shared" si="11"/>
        <v>107066.66666666667</v>
      </c>
      <c r="AI61" s="144">
        <f t="shared" si="12"/>
        <v>9733.3333333333339</v>
      </c>
      <c r="AJ61" s="144">
        <f t="shared" si="13"/>
        <v>0</v>
      </c>
      <c r="AK61" s="144">
        <f t="shared" si="14"/>
        <v>11680.000000000002</v>
      </c>
      <c r="AL61" s="144">
        <f t="shared" si="15"/>
        <v>301273.62</v>
      </c>
      <c r="AM61" s="144">
        <f t="shared" si="16"/>
        <v>1310295.6200000001</v>
      </c>
      <c r="AN61" s="675">
        <f t="shared" si="17"/>
        <v>786177</v>
      </c>
      <c r="AO61" s="675"/>
      <c r="AP61" s="675">
        <f t="shared" si="18"/>
        <v>786177</v>
      </c>
      <c r="AQ61" s="675">
        <f t="shared" si="19"/>
        <v>262059</v>
      </c>
    </row>
    <row r="62" spans="1:43" ht="15" customHeight="1">
      <c r="A62" s="141" t="s">
        <v>538</v>
      </c>
      <c r="B62" s="240" t="s">
        <v>2130</v>
      </c>
      <c r="C62" s="240" t="s">
        <v>2101</v>
      </c>
      <c r="D62" s="672"/>
      <c r="E62" s="165">
        <v>0</v>
      </c>
      <c r="F62" s="165">
        <v>4</v>
      </c>
      <c r="G62" s="165">
        <v>0</v>
      </c>
      <c r="H62" s="165">
        <v>5</v>
      </c>
      <c r="I62" s="144">
        <f t="shared" si="1"/>
        <v>9</v>
      </c>
      <c r="J62" s="672">
        <v>1.5</v>
      </c>
      <c r="K62" s="672">
        <v>0</v>
      </c>
      <c r="L62" s="672">
        <v>0</v>
      </c>
      <c r="M62" s="672">
        <v>3.5</v>
      </c>
      <c r="N62" s="144">
        <f t="shared" si="21"/>
        <v>5</v>
      </c>
      <c r="O62" s="144">
        <f t="shared" si="33"/>
        <v>1.5</v>
      </c>
      <c r="P62" s="144">
        <f t="shared" si="33"/>
        <v>4</v>
      </c>
      <c r="Q62" s="144">
        <f t="shared" si="33"/>
        <v>0</v>
      </c>
      <c r="R62" s="144">
        <f t="shared" si="33"/>
        <v>8.5</v>
      </c>
      <c r="S62" s="144">
        <f t="shared" si="23"/>
        <v>14</v>
      </c>
      <c r="T62" s="672">
        <v>0.91666666666666663</v>
      </c>
      <c r="U62" s="672">
        <v>1</v>
      </c>
      <c r="V62" s="672">
        <v>0</v>
      </c>
      <c r="W62" s="672">
        <v>9.8333333333333339</v>
      </c>
      <c r="X62" s="144">
        <f t="shared" si="24"/>
        <v>11.75</v>
      </c>
      <c r="Y62" s="672">
        <v>0.91666666666666663</v>
      </c>
      <c r="Z62" s="672">
        <v>1</v>
      </c>
      <c r="AA62" s="672">
        <v>0</v>
      </c>
      <c r="AB62" s="672">
        <v>9.8333333333333339</v>
      </c>
      <c r="AC62" s="144">
        <f t="shared" si="25"/>
        <v>11.75</v>
      </c>
      <c r="AD62" s="144">
        <f t="shared" si="7"/>
        <v>630687</v>
      </c>
      <c r="AE62" s="144">
        <f t="shared" si="8"/>
        <v>50760</v>
      </c>
      <c r="AF62" s="144">
        <f t="shared" si="9"/>
        <v>70500</v>
      </c>
      <c r="AG62" s="144">
        <f t="shared" si="10"/>
        <v>28200</v>
      </c>
      <c r="AH62" s="144">
        <f t="shared" si="11"/>
        <v>103400</v>
      </c>
      <c r="AI62" s="144">
        <f t="shared" si="12"/>
        <v>9400</v>
      </c>
      <c r="AJ62" s="144">
        <f t="shared" si="13"/>
        <v>0</v>
      </c>
      <c r="AK62" s="144">
        <f t="shared" si="14"/>
        <v>11280</v>
      </c>
      <c r="AL62" s="144">
        <f t="shared" si="15"/>
        <v>265841.21000000002</v>
      </c>
      <c r="AM62" s="144">
        <f t="shared" si="16"/>
        <v>1170068.21</v>
      </c>
      <c r="AN62" s="675">
        <f t="shared" si="17"/>
        <v>702041</v>
      </c>
      <c r="AO62" s="675"/>
      <c r="AP62" s="675">
        <f t="shared" si="18"/>
        <v>702041</v>
      </c>
      <c r="AQ62" s="675">
        <f t="shared" si="19"/>
        <v>234014</v>
      </c>
    </row>
    <row r="63" spans="1:43" ht="15" customHeight="1">
      <c r="A63" s="141" t="s">
        <v>538</v>
      </c>
      <c r="B63" s="240" t="s">
        <v>2131</v>
      </c>
      <c r="C63" s="240" t="s">
        <v>2101</v>
      </c>
      <c r="D63" s="672"/>
      <c r="E63" s="165">
        <v>0</v>
      </c>
      <c r="F63" s="165">
        <v>4</v>
      </c>
      <c r="G63" s="165">
        <v>0</v>
      </c>
      <c r="H63" s="165">
        <v>5</v>
      </c>
      <c r="I63" s="144">
        <f t="shared" si="1"/>
        <v>9</v>
      </c>
      <c r="J63" s="672">
        <v>8</v>
      </c>
      <c r="K63" s="672">
        <v>0</v>
      </c>
      <c r="L63" s="672">
        <v>0</v>
      </c>
      <c r="M63" s="672">
        <v>0</v>
      </c>
      <c r="N63" s="144">
        <f t="shared" si="21"/>
        <v>8</v>
      </c>
      <c r="O63" s="144">
        <f t="shared" si="33"/>
        <v>8</v>
      </c>
      <c r="P63" s="144">
        <f t="shared" si="33"/>
        <v>4</v>
      </c>
      <c r="Q63" s="144">
        <f t="shared" si="33"/>
        <v>0</v>
      </c>
      <c r="R63" s="144">
        <f t="shared" si="33"/>
        <v>5</v>
      </c>
      <c r="S63" s="144">
        <f t="shared" si="23"/>
        <v>17</v>
      </c>
      <c r="T63" s="672">
        <v>1</v>
      </c>
      <c r="U63" s="672">
        <v>5.833333333333333</v>
      </c>
      <c r="V63" s="672">
        <v>0</v>
      </c>
      <c r="W63" s="672">
        <v>8.1666666666666661</v>
      </c>
      <c r="X63" s="144">
        <f t="shared" si="24"/>
        <v>15</v>
      </c>
      <c r="Y63" s="672">
        <v>1</v>
      </c>
      <c r="Z63" s="672">
        <v>5.833333333333333</v>
      </c>
      <c r="AA63" s="672">
        <v>0</v>
      </c>
      <c r="AB63" s="672">
        <v>8.1666666666666661</v>
      </c>
      <c r="AC63" s="144">
        <f t="shared" si="25"/>
        <v>15</v>
      </c>
      <c r="AD63" s="144">
        <f t="shared" si="7"/>
        <v>856204</v>
      </c>
      <c r="AE63" s="144">
        <f t="shared" si="8"/>
        <v>64800</v>
      </c>
      <c r="AF63" s="144">
        <f t="shared" si="9"/>
        <v>90000</v>
      </c>
      <c r="AG63" s="144">
        <f t="shared" si="10"/>
        <v>36000</v>
      </c>
      <c r="AH63" s="144">
        <f t="shared" si="11"/>
        <v>132000</v>
      </c>
      <c r="AI63" s="144">
        <f t="shared" si="12"/>
        <v>12000</v>
      </c>
      <c r="AJ63" s="144">
        <f t="shared" si="13"/>
        <v>0</v>
      </c>
      <c r="AK63" s="144">
        <f t="shared" si="14"/>
        <v>14400</v>
      </c>
      <c r="AL63" s="144">
        <f t="shared" si="15"/>
        <v>357632.94</v>
      </c>
      <c r="AM63" s="144">
        <f t="shared" si="16"/>
        <v>1563036.94</v>
      </c>
      <c r="AN63" s="675">
        <f t="shared" si="17"/>
        <v>937822</v>
      </c>
      <c r="AO63" s="675"/>
      <c r="AP63" s="675">
        <f t="shared" si="18"/>
        <v>937822</v>
      </c>
      <c r="AQ63" s="675">
        <f t="shared" si="19"/>
        <v>312607</v>
      </c>
    </row>
    <row r="64" spans="1:43" ht="15" customHeight="1">
      <c r="A64" s="141" t="s">
        <v>538</v>
      </c>
      <c r="B64" s="240" t="s">
        <v>2132</v>
      </c>
      <c r="C64" s="240" t="s">
        <v>2099</v>
      </c>
      <c r="D64" s="672">
        <v>2</v>
      </c>
      <c r="E64" s="165">
        <v>3</v>
      </c>
      <c r="F64" s="165">
        <v>3</v>
      </c>
      <c r="G64" s="165">
        <v>25</v>
      </c>
      <c r="H64" s="165">
        <v>3</v>
      </c>
      <c r="I64" s="144">
        <f t="shared" si="1"/>
        <v>34</v>
      </c>
      <c r="J64" s="672">
        <v>7</v>
      </c>
      <c r="K64" s="672">
        <v>2.9166666666666665</v>
      </c>
      <c r="L64" s="672">
        <v>1</v>
      </c>
      <c r="M64" s="672">
        <v>0</v>
      </c>
      <c r="N64" s="144">
        <f t="shared" si="21"/>
        <v>10.916666666666666</v>
      </c>
      <c r="O64" s="144">
        <f t="shared" si="33"/>
        <v>10</v>
      </c>
      <c r="P64" s="144">
        <f t="shared" si="33"/>
        <v>5.9166666666666661</v>
      </c>
      <c r="Q64" s="144">
        <f t="shared" si="33"/>
        <v>26</v>
      </c>
      <c r="R64" s="144">
        <f t="shared" si="33"/>
        <v>3</v>
      </c>
      <c r="S64" s="144">
        <f t="shared" si="23"/>
        <v>44.916666666666664</v>
      </c>
      <c r="T64" s="672">
        <v>6</v>
      </c>
      <c r="U64" s="672">
        <v>3.8333333333333335</v>
      </c>
      <c r="V64" s="672">
        <v>23.5</v>
      </c>
      <c r="W64" s="672">
        <v>2</v>
      </c>
      <c r="X64" s="144">
        <f t="shared" si="24"/>
        <v>35.333333333333336</v>
      </c>
      <c r="Y64" s="672">
        <v>6</v>
      </c>
      <c r="Z64" s="672">
        <v>3.8333333333333335</v>
      </c>
      <c r="AA64" s="672">
        <v>23.5</v>
      </c>
      <c r="AB64" s="672">
        <v>2</v>
      </c>
      <c r="AC64" s="144">
        <f t="shared" si="25"/>
        <v>35.333333333333336</v>
      </c>
      <c r="AD64" s="144">
        <f t="shared" si="7"/>
        <v>2241432</v>
      </c>
      <c r="AE64" s="144">
        <f t="shared" si="8"/>
        <v>152640</v>
      </c>
      <c r="AF64" s="144">
        <f t="shared" si="9"/>
        <v>212000</v>
      </c>
      <c r="AG64" s="144">
        <f t="shared" si="10"/>
        <v>84800</v>
      </c>
      <c r="AH64" s="144">
        <f t="shared" si="11"/>
        <v>310933.33333333337</v>
      </c>
      <c r="AI64" s="144">
        <f t="shared" si="12"/>
        <v>28266.666666666668</v>
      </c>
      <c r="AJ64" s="144">
        <f t="shared" si="13"/>
        <v>20000</v>
      </c>
      <c r="AK64" s="144">
        <f t="shared" si="14"/>
        <v>33920</v>
      </c>
      <c r="AL64" s="144">
        <f t="shared" si="15"/>
        <v>929881.98</v>
      </c>
      <c r="AM64" s="144">
        <f t="shared" si="16"/>
        <v>4013873.98</v>
      </c>
      <c r="AN64" s="675">
        <f t="shared" si="17"/>
        <v>2408324</v>
      </c>
      <c r="AO64" s="675"/>
      <c r="AP64" s="675">
        <f t="shared" si="18"/>
        <v>2408324</v>
      </c>
      <c r="AQ64" s="675">
        <f t="shared" si="19"/>
        <v>802775</v>
      </c>
    </row>
    <row r="65" spans="1:43" ht="15" customHeight="1">
      <c r="A65" s="141" t="s">
        <v>538</v>
      </c>
      <c r="B65" s="240" t="s">
        <v>2133</v>
      </c>
      <c r="C65" s="240" t="s">
        <v>2101</v>
      </c>
      <c r="D65" s="672"/>
      <c r="E65" s="165">
        <v>0</v>
      </c>
      <c r="F65" s="165">
        <v>4</v>
      </c>
      <c r="G65" s="165">
        <v>0</v>
      </c>
      <c r="H65" s="165">
        <v>5</v>
      </c>
      <c r="I65" s="144">
        <f t="shared" si="1"/>
        <v>9</v>
      </c>
      <c r="J65" s="672">
        <v>6.33</v>
      </c>
      <c r="K65" s="672">
        <v>3</v>
      </c>
      <c r="L65" s="672">
        <v>0</v>
      </c>
      <c r="M65" s="672">
        <v>0.83333333333333337</v>
      </c>
      <c r="N65" s="144">
        <f t="shared" si="21"/>
        <v>10.163333333333334</v>
      </c>
      <c r="O65" s="144">
        <f t="shared" si="33"/>
        <v>6.33</v>
      </c>
      <c r="P65" s="144">
        <f t="shared" si="33"/>
        <v>7</v>
      </c>
      <c r="Q65" s="144">
        <f t="shared" si="33"/>
        <v>0</v>
      </c>
      <c r="R65" s="144">
        <f t="shared" si="33"/>
        <v>5.833333333333333</v>
      </c>
      <c r="S65" s="144">
        <f t="shared" si="23"/>
        <v>19.163333333333334</v>
      </c>
      <c r="T65" s="672">
        <v>6.333333333333333</v>
      </c>
      <c r="U65" s="672">
        <v>7</v>
      </c>
      <c r="V65" s="672">
        <v>0</v>
      </c>
      <c r="W65" s="672">
        <v>5.583333333333333</v>
      </c>
      <c r="X65" s="144">
        <f t="shared" si="24"/>
        <v>18.916666666666664</v>
      </c>
      <c r="Y65" s="672">
        <v>6.333333333333333</v>
      </c>
      <c r="Z65" s="672">
        <v>7</v>
      </c>
      <c r="AA65" s="672">
        <v>0</v>
      </c>
      <c r="AB65" s="672">
        <v>5.583333333333333</v>
      </c>
      <c r="AC65" s="144">
        <f t="shared" si="25"/>
        <v>18.916666666666664</v>
      </c>
      <c r="AD65" s="144">
        <f t="shared" si="7"/>
        <v>1183041.9999999998</v>
      </c>
      <c r="AE65" s="144">
        <f t="shared" si="8"/>
        <v>81719.999999999985</v>
      </c>
      <c r="AF65" s="144">
        <f t="shared" si="9"/>
        <v>113499.99999999999</v>
      </c>
      <c r="AG65" s="144">
        <f t="shared" si="10"/>
        <v>45399.999999999993</v>
      </c>
      <c r="AH65" s="144">
        <f t="shared" si="11"/>
        <v>166466.66666666666</v>
      </c>
      <c r="AI65" s="144">
        <f t="shared" si="12"/>
        <v>15133.333333333332</v>
      </c>
      <c r="AJ65" s="144">
        <f t="shared" si="13"/>
        <v>0</v>
      </c>
      <c r="AK65" s="144">
        <f t="shared" si="14"/>
        <v>18159.999999999996</v>
      </c>
      <c r="AL65" s="144">
        <f t="shared" si="15"/>
        <v>487941.39</v>
      </c>
      <c r="AM65" s="144">
        <f t="shared" si="16"/>
        <v>2111363.3899999997</v>
      </c>
      <c r="AN65" s="675">
        <f t="shared" si="17"/>
        <v>1266818</v>
      </c>
      <c r="AO65" s="675"/>
      <c r="AP65" s="675">
        <f t="shared" si="18"/>
        <v>1266818</v>
      </c>
      <c r="AQ65" s="675">
        <f t="shared" si="19"/>
        <v>422273</v>
      </c>
    </row>
    <row r="66" spans="1:43" ht="15" customHeight="1">
      <c r="A66" s="141" t="s">
        <v>538</v>
      </c>
      <c r="B66" s="240" t="s">
        <v>2134</v>
      </c>
      <c r="C66" s="240" t="s">
        <v>2099</v>
      </c>
      <c r="D66" s="672">
        <v>1</v>
      </c>
      <c r="E66" s="165">
        <v>2</v>
      </c>
      <c r="F66" s="165">
        <v>2</v>
      </c>
      <c r="G66" s="165">
        <v>17</v>
      </c>
      <c r="H66" s="165">
        <v>3</v>
      </c>
      <c r="I66" s="144">
        <f t="shared" si="1"/>
        <v>24</v>
      </c>
      <c r="J66" s="672">
        <v>6</v>
      </c>
      <c r="K66" s="672">
        <v>0</v>
      </c>
      <c r="L66" s="672">
        <v>4</v>
      </c>
      <c r="M66" s="672">
        <v>0</v>
      </c>
      <c r="N66" s="144">
        <f t="shared" si="21"/>
        <v>10</v>
      </c>
      <c r="O66" s="144">
        <f t="shared" si="33"/>
        <v>8</v>
      </c>
      <c r="P66" s="144">
        <f t="shared" si="33"/>
        <v>2</v>
      </c>
      <c r="Q66" s="144">
        <f t="shared" si="33"/>
        <v>21</v>
      </c>
      <c r="R66" s="144">
        <f t="shared" si="33"/>
        <v>3</v>
      </c>
      <c r="S66" s="144">
        <f t="shared" si="23"/>
        <v>34</v>
      </c>
      <c r="T66" s="672">
        <v>5.916666666666667</v>
      </c>
      <c r="U66" s="672">
        <v>2.6666666666666665</v>
      </c>
      <c r="V66" s="672">
        <v>15.666666666666666</v>
      </c>
      <c r="W66" s="672">
        <v>1.6666666666666667</v>
      </c>
      <c r="X66" s="144">
        <f t="shared" si="24"/>
        <v>25.916666666666668</v>
      </c>
      <c r="Y66" s="672">
        <v>5.916666666666667</v>
      </c>
      <c r="Z66" s="672">
        <v>2.6666666666666665</v>
      </c>
      <c r="AA66" s="672">
        <v>15.666666666666666</v>
      </c>
      <c r="AB66" s="672">
        <v>1.6666666666666667</v>
      </c>
      <c r="AC66" s="144">
        <f t="shared" si="25"/>
        <v>25.916666666666668</v>
      </c>
      <c r="AD66" s="144">
        <f t="shared" si="7"/>
        <v>1656679</v>
      </c>
      <c r="AE66" s="144">
        <f t="shared" si="8"/>
        <v>111960</v>
      </c>
      <c r="AF66" s="144">
        <f t="shared" si="9"/>
        <v>155500</v>
      </c>
      <c r="AG66" s="144">
        <f t="shared" si="10"/>
        <v>62200</v>
      </c>
      <c r="AH66" s="144">
        <f t="shared" si="11"/>
        <v>228066.66666666669</v>
      </c>
      <c r="AI66" s="144">
        <f t="shared" si="12"/>
        <v>20733.333333333336</v>
      </c>
      <c r="AJ66" s="144">
        <f t="shared" si="13"/>
        <v>10000</v>
      </c>
      <c r="AK66" s="144">
        <f t="shared" si="14"/>
        <v>24880</v>
      </c>
      <c r="AL66" s="144">
        <f t="shared" si="15"/>
        <v>684898.67</v>
      </c>
      <c r="AM66" s="144">
        <f t="shared" si="16"/>
        <v>2954917.67</v>
      </c>
      <c r="AN66" s="675">
        <f t="shared" si="17"/>
        <v>1772951</v>
      </c>
      <c r="AO66" s="675"/>
      <c r="AP66" s="675">
        <f t="shared" si="18"/>
        <v>1772951</v>
      </c>
      <c r="AQ66" s="675">
        <f t="shared" si="19"/>
        <v>590984</v>
      </c>
    </row>
    <row r="67" spans="1:43" ht="15" customHeight="1">
      <c r="A67" s="141" t="s">
        <v>538</v>
      </c>
      <c r="B67" s="240" t="s">
        <v>2135</v>
      </c>
      <c r="C67" s="240" t="s">
        <v>2099</v>
      </c>
      <c r="D67" s="672">
        <v>1</v>
      </c>
      <c r="E67" s="165">
        <v>1</v>
      </c>
      <c r="F67" s="165">
        <v>2</v>
      </c>
      <c r="G67" s="165">
        <v>11</v>
      </c>
      <c r="H67" s="165">
        <v>2</v>
      </c>
      <c r="I67" s="144">
        <f t="shared" si="1"/>
        <v>16</v>
      </c>
      <c r="J67" s="672">
        <v>5</v>
      </c>
      <c r="K67" s="672">
        <v>0</v>
      </c>
      <c r="L67" s="672">
        <v>1.75</v>
      </c>
      <c r="M67" s="672">
        <v>0</v>
      </c>
      <c r="N67" s="144">
        <f t="shared" si="21"/>
        <v>6.75</v>
      </c>
      <c r="O67" s="144">
        <f t="shared" si="33"/>
        <v>6</v>
      </c>
      <c r="P67" s="144">
        <f t="shared" si="33"/>
        <v>2</v>
      </c>
      <c r="Q67" s="144">
        <f t="shared" si="33"/>
        <v>12.75</v>
      </c>
      <c r="R67" s="144">
        <f t="shared" si="33"/>
        <v>2</v>
      </c>
      <c r="S67" s="144">
        <f t="shared" si="23"/>
        <v>22.75</v>
      </c>
      <c r="T67" s="672">
        <v>7.583333333333333</v>
      </c>
      <c r="U67" s="672">
        <v>1.5</v>
      </c>
      <c r="V67" s="672">
        <v>12.5</v>
      </c>
      <c r="W67" s="672">
        <v>1.1666666666666667</v>
      </c>
      <c r="X67" s="144">
        <f t="shared" si="24"/>
        <v>22.75</v>
      </c>
      <c r="Y67" s="672">
        <v>7.583333333333333</v>
      </c>
      <c r="Z67" s="672">
        <v>1.5</v>
      </c>
      <c r="AA67" s="672">
        <v>12.5</v>
      </c>
      <c r="AB67" s="672">
        <v>1.1666666666666667</v>
      </c>
      <c r="AC67" s="144">
        <f t="shared" si="25"/>
        <v>22.75</v>
      </c>
      <c r="AD67" s="144">
        <f t="shared" si="7"/>
        <v>1480646.9999999998</v>
      </c>
      <c r="AE67" s="144">
        <f t="shared" si="8"/>
        <v>98280</v>
      </c>
      <c r="AF67" s="144">
        <f t="shared" si="9"/>
        <v>136500</v>
      </c>
      <c r="AG67" s="144">
        <f t="shared" si="10"/>
        <v>54600</v>
      </c>
      <c r="AH67" s="144">
        <f t="shared" si="11"/>
        <v>200200</v>
      </c>
      <c r="AI67" s="144">
        <f t="shared" si="12"/>
        <v>18200</v>
      </c>
      <c r="AJ67" s="144">
        <f t="shared" si="13"/>
        <v>10000</v>
      </c>
      <c r="AK67" s="144">
        <f t="shared" si="14"/>
        <v>21840</v>
      </c>
      <c r="AL67" s="144">
        <f t="shared" si="15"/>
        <v>611086.85</v>
      </c>
      <c r="AM67" s="144">
        <f t="shared" si="16"/>
        <v>2631353.8499999996</v>
      </c>
      <c r="AN67" s="675">
        <f t="shared" si="17"/>
        <v>1578812</v>
      </c>
      <c r="AO67" s="675"/>
      <c r="AP67" s="675">
        <f t="shared" si="18"/>
        <v>1578812</v>
      </c>
      <c r="AQ67" s="675">
        <f t="shared" si="19"/>
        <v>526271</v>
      </c>
    </row>
    <row r="68" spans="1:43" ht="15" customHeight="1">
      <c r="A68" s="141" t="s">
        <v>538</v>
      </c>
      <c r="B68" s="240" t="s">
        <v>2136</v>
      </c>
      <c r="C68" s="240" t="s">
        <v>2101</v>
      </c>
      <c r="D68" s="672"/>
      <c r="E68" s="165">
        <v>0</v>
      </c>
      <c r="F68" s="165">
        <v>4</v>
      </c>
      <c r="G68" s="165">
        <v>0</v>
      </c>
      <c r="H68" s="165">
        <v>5</v>
      </c>
      <c r="I68" s="144">
        <f t="shared" si="1"/>
        <v>9</v>
      </c>
      <c r="J68" s="672">
        <v>3</v>
      </c>
      <c r="K68" s="672">
        <v>2</v>
      </c>
      <c r="L68" s="672">
        <v>0</v>
      </c>
      <c r="M68" s="672">
        <v>4</v>
      </c>
      <c r="N68" s="144">
        <f t="shared" si="21"/>
        <v>9</v>
      </c>
      <c r="O68" s="144">
        <f t="shared" si="33"/>
        <v>3</v>
      </c>
      <c r="P68" s="144">
        <f t="shared" si="33"/>
        <v>6</v>
      </c>
      <c r="Q68" s="144">
        <f t="shared" si="33"/>
        <v>0</v>
      </c>
      <c r="R68" s="144">
        <f t="shared" si="33"/>
        <v>9</v>
      </c>
      <c r="S68" s="144">
        <f t="shared" si="23"/>
        <v>18</v>
      </c>
      <c r="T68" s="672">
        <v>0.91666666666666663</v>
      </c>
      <c r="U68" s="672">
        <v>7</v>
      </c>
      <c r="V68" s="672">
        <v>0</v>
      </c>
      <c r="W68" s="672">
        <v>8.6666666666666661</v>
      </c>
      <c r="X68" s="144">
        <f t="shared" si="24"/>
        <v>16.583333333333332</v>
      </c>
      <c r="Y68" s="672">
        <v>0.91666666666666663</v>
      </c>
      <c r="Z68" s="672">
        <v>7</v>
      </c>
      <c r="AA68" s="672">
        <v>0</v>
      </c>
      <c r="AB68" s="672">
        <v>8.6666666666666661</v>
      </c>
      <c r="AC68" s="144">
        <f t="shared" si="25"/>
        <v>16.583333333333332</v>
      </c>
      <c r="AD68" s="144">
        <f t="shared" si="7"/>
        <v>949186.99999999988</v>
      </c>
      <c r="AE68" s="144">
        <f t="shared" si="8"/>
        <v>71640</v>
      </c>
      <c r="AF68" s="144">
        <f t="shared" si="9"/>
        <v>99500</v>
      </c>
      <c r="AG68" s="144">
        <f t="shared" si="10"/>
        <v>39800</v>
      </c>
      <c r="AH68" s="144">
        <f t="shared" si="11"/>
        <v>145933.33333333331</v>
      </c>
      <c r="AI68" s="144">
        <f t="shared" si="12"/>
        <v>13266.666666666666</v>
      </c>
      <c r="AJ68" s="144">
        <f t="shared" si="13"/>
        <v>0</v>
      </c>
      <c r="AK68" s="144">
        <f t="shared" si="14"/>
        <v>15919.999999999998</v>
      </c>
      <c r="AL68" s="144">
        <f t="shared" si="15"/>
        <v>396314.86</v>
      </c>
      <c r="AM68" s="144">
        <f t="shared" si="16"/>
        <v>1731561.8599999999</v>
      </c>
      <c r="AN68" s="675">
        <f t="shared" si="17"/>
        <v>1038937</v>
      </c>
      <c r="AO68" s="675"/>
      <c r="AP68" s="675">
        <f t="shared" si="18"/>
        <v>1038937</v>
      </c>
      <c r="AQ68" s="675">
        <f t="shared" si="19"/>
        <v>346312</v>
      </c>
    </row>
    <row r="69" spans="1:43" ht="15" customHeight="1">
      <c r="A69" s="141" t="s">
        <v>538</v>
      </c>
      <c r="B69" s="240" t="s">
        <v>2137</v>
      </c>
      <c r="C69" s="240" t="s">
        <v>2101</v>
      </c>
      <c r="D69" s="672"/>
      <c r="E69" s="165">
        <v>0</v>
      </c>
      <c r="F69" s="165">
        <v>2</v>
      </c>
      <c r="G69" s="165">
        <v>0</v>
      </c>
      <c r="H69" s="165">
        <v>4</v>
      </c>
      <c r="I69" s="144">
        <f t="shared" si="1"/>
        <v>6</v>
      </c>
      <c r="J69" s="672">
        <v>4</v>
      </c>
      <c r="K69" s="672">
        <v>2</v>
      </c>
      <c r="L69" s="672">
        <v>0</v>
      </c>
      <c r="M69" s="672">
        <v>1</v>
      </c>
      <c r="N69" s="144">
        <f t="shared" si="21"/>
        <v>7</v>
      </c>
      <c r="O69" s="144">
        <f t="shared" si="33"/>
        <v>4</v>
      </c>
      <c r="P69" s="144">
        <f t="shared" si="33"/>
        <v>4</v>
      </c>
      <c r="Q69" s="144">
        <f t="shared" si="33"/>
        <v>0</v>
      </c>
      <c r="R69" s="144">
        <f t="shared" si="33"/>
        <v>5</v>
      </c>
      <c r="S69" s="144">
        <f t="shared" si="23"/>
        <v>13</v>
      </c>
      <c r="T69" s="672">
        <v>1.5</v>
      </c>
      <c r="U69" s="672">
        <v>1.5</v>
      </c>
      <c r="V69" s="672">
        <v>0</v>
      </c>
      <c r="W69" s="672">
        <v>1.8</v>
      </c>
      <c r="X69" s="144">
        <f t="shared" si="24"/>
        <v>4.8</v>
      </c>
      <c r="Y69" s="672">
        <v>1.5</v>
      </c>
      <c r="Z69" s="672">
        <v>1.5</v>
      </c>
      <c r="AA69" s="672">
        <v>0</v>
      </c>
      <c r="AB69" s="672">
        <v>1.8</v>
      </c>
      <c r="AC69" s="144">
        <f t="shared" si="25"/>
        <v>4.8</v>
      </c>
      <c r="AD69" s="144">
        <f t="shared" si="7"/>
        <v>294606</v>
      </c>
      <c r="AE69" s="144">
        <f t="shared" si="8"/>
        <v>20736</v>
      </c>
      <c r="AF69" s="144">
        <f t="shared" si="9"/>
        <v>28800</v>
      </c>
      <c r="AG69" s="144">
        <f t="shared" si="10"/>
        <v>11520</v>
      </c>
      <c r="AH69" s="144">
        <f t="shared" si="11"/>
        <v>42240</v>
      </c>
      <c r="AI69" s="144">
        <f t="shared" si="12"/>
        <v>3840</v>
      </c>
      <c r="AJ69" s="144">
        <f t="shared" si="13"/>
        <v>0</v>
      </c>
      <c r="AK69" s="144">
        <f t="shared" si="14"/>
        <v>4608</v>
      </c>
      <c r="AL69" s="144">
        <f t="shared" si="15"/>
        <v>121815.69</v>
      </c>
      <c r="AM69" s="144">
        <f t="shared" si="16"/>
        <v>528165.68999999994</v>
      </c>
      <c r="AN69" s="675">
        <f t="shared" ref="AN69:AN117" si="34">ROUND(AM69*0.6,0)</f>
        <v>316899</v>
      </c>
      <c r="AO69" s="675"/>
      <c r="AP69" s="675">
        <f t="shared" ref="AP69:AP117" si="35">AN69+AO69</f>
        <v>316899</v>
      </c>
      <c r="AQ69" s="675">
        <f t="shared" ref="AQ69:AQ117" si="36">ROUND(AM69*0.2,0)</f>
        <v>105633</v>
      </c>
    </row>
    <row r="70" spans="1:43" ht="15" customHeight="1">
      <c r="A70" s="141" t="s">
        <v>538</v>
      </c>
      <c r="B70" s="240" t="s">
        <v>2138</v>
      </c>
      <c r="C70" s="240" t="s">
        <v>2099</v>
      </c>
      <c r="D70" s="672">
        <v>2</v>
      </c>
      <c r="E70" s="165">
        <v>2</v>
      </c>
      <c r="F70" s="165">
        <v>2</v>
      </c>
      <c r="G70" s="165">
        <v>19</v>
      </c>
      <c r="H70" s="165">
        <v>3</v>
      </c>
      <c r="I70" s="144">
        <f t="shared" si="1"/>
        <v>26</v>
      </c>
      <c r="J70" s="672">
        <v>7.833333333333333</v>
      </c>
      <c r="K70" s="672">
        <v>1.5</v>
      </c>
      <c r="L70" s="672">
        <v>5.25</v>
      </c>
      <c r="M70" s="672">
        <v>1.5</v>
      </c>
      <c r="N70" s="144">
        <f t="shared" si="21"/>
        <v>16.083333333333332</v>
      </c>
      <c r="O70" s="144">
        <f t="shared" si="33"/>
        <v>9.8333333333333321</v>
      </c>
      <c r="P70" s="144">
        <f>F70+K70</f>
        <v>3.5</v>
      </c>
      <c r="Q70" s="144">
        <f>G70+L70</f>
        <v>24.25</v>
      </c>
      <c r="R70" s="144">
        <f>H70+M70</f>
        <v>4.5</v>
      </c>
      <c r="S70" s="144">
        <f t="shared" si="23"/>
        <v>42.083333333333329</v>
      </c>
      <c r="T70" s="672">
        <v>8.8333333333333339</v>
      </c>
      <c r="U70" s="672">
        <v>4</v>
      </c>
      <c r="V70" s="672">
        <v>17</v>
      </c>
      <c r="W70" s="672">
        <v>2</v>
      </c>
      <c r="X70" s="144">
        <f t="shared" si="24"/>
        <v>31.833333333333336</v>
      </c>
      <c r="Y70" s="672">
        <v>8.8333333333333339</v>
      </c>
      <c r="Z70" s="672">
        <v>4</v>
      </c>
      <c r="AA70" s="672">
        <v>17</v>
      </c>
      <c r="AB70" s="672">
        <v>2</v>
      </c>
      <c r="AC70" s="144">
        <f t="shared" si="25"/>
        <v>31.833333333333336</v>
      </c>
      <c r="AD70" s="144">
        <f t="shared" ref="AD70:AD117" si="37">(Y70*6017+Z70*5250+AA70*5194+AB70*4250)*12</f>
        <v>2051378.0000000002</v>
      </c>
      <c r="AE70" s="144">
        <f t="shared" ref="AE70:AE117" si="38">AC70*4320</f>
        <v>137520</v>
      </c>
      <c r="AF70" s="144">
        <f t="shared" ref="AF70:AF117" si="39">AC70*6000</f>
        <v>191000</v>
      </c>
      <c r="AG70" s="144">
        <f t="shared" ref="AG70:AG117" si="40">AC70*2400</f>
        <v>76400</v>
      </c>
      <c r="AH70" s="144">
        <f t="shared" ref="AH70:AH117" si="41">AC70*8800</f>
        <v>280133.33333333337</v>
      </c>
      <c r="AI70" s="144">
        <f t="shared" ref="AI70:AI117" si="42">AC70*800</f>
        <v>25466.666666666668</v>
      </c>
      <c r="AJ70" s="144">
        <f t="shared" ref="AJ70:AJ117" si="43">D70*50*200</f>
        <v>20000</v>
      </c>
      <c r="AK70" s="144">
        <f t="shared" ref="AK70:AK117" si="44">AC70*960</f>
        <v>30560.000000000004</v>
      </c>
      <c r="AL70" s="144">
        <f t="shared" ref="AL70:AL117" si="45">ROUND((AD70+AH70+AI70+AJ70)*0.35756,2)</f>
        <v>849912.25</v>
      </c>
      <c r="AM70" s="144">
        <f t="shared" ref="AM70:AM117" si="46">SUM(AD70:AL70)</f>
        <v>3662370.25</v>
      </c>
      <c r="AN70" s="675">
        <f t="shared" si="34"/>
        <v>2197422</v>
      </c>
      <c r="AO70" s="675"/>
      <c r="AP70" s="675">
        <f t="shared" si="35"/>
        <v>2197422</v>
      </c>
      <c r="AQ70" s="675">
        <f t="shared" si="36"/>
        <v>732474</v>
      </c>
    </row>
    <row r="71" spans="1:43" ht="15" customHeight="1">
      <c r="A71" s="676"/>
      <c r="B71" s="676" t="s">
        <v>2139</v>
      </c>
      <c r="C71" s="676"/>
      <c r="D71" s="146">
        <f>SUM(D53:D70)</f>
        <v>14</v>
      </c>
      <c r="E71" s="146">
        <f t="shared" ref="E71:AQ71" si="47">SUM(E53:E70)</f>
        <v>36</v>
      </c>
      <c r="F71" s="146">
        <f t="shared" si="47"/>
        <v>62.5</v>
      </c>
      <c r="G71" s="146">
        <f t="shared" si="47"/>
        <v>212</v>
      </c>
      <c r="H71" s="146">
        <f t="shared" si="47"/>
        <v>79</v>
      </c>
      <c r="I71" s="146">
        <f t="shared" si="47"/>
        <v>389.5</v>
      </c>
      <c r="J71" s="146">
        <f t="shared" si="47"/>
        <v>102.66333333333333</v>
      </c>
      <c r="K71" s="146">
        <f t="shared" si="47"/>
        <v>17.416666666666664</v>
      </c>
      <c r="L71" s="146">
        <f t="shared" si="47"/>
        <v>23.916666666666664</v>
      </c>
      <c r="M71" s="146">
        <f t="shared" si="47"/>
        <v>13.166666666666666</v>
      </c>
      <c r="N71" s="146">
        <f t="shared" si="47"/>
        <v>157.16333333333336</v>
      </c>
      <c r="O71" s="146">
        <f t="shared" si="47"/>
        <v>138.66333333333333</v>
      </c>
      <c r="P71" s="146">
        <f t="shared" si="47"/>
        <v>79.916666666666657</v>
      </c>
      <c r="Q71" s="146">
        <f t="shared" si="47"/>
        <v>235.91666666666666</v>
      </c>
      <c r="R71" s="146">
        <f t="shared" si="47"/>
        <v>92.166666666666657</v>
      </c>
      <c r="S71" s="146">
        <f t="shared" si="47"/>
        <v>546.66333333333341</v>
      </c>
      <c r="T71" s="146">
        <f t="shared" si="47"/>
        <v>105.33333333333334</v>
      </c>
      <c r="U71" s="146">
        <f t="shared" si="47"/>
        <v>73.166666666666657</v>
      </c>
      <c r="V71" s="146">
        <f t="shared" si="47"/>
        <v>200.24999999999997</v>
      </c>
      <c r="W71" s="146">
        <f t="shared" si="47"/>
        <v>90.633333333333354</v>
      </c>
      <c r="X71" s="146">
        <f t="shared" si="47"/>
        <v>469.38333333333327</v>
      </c>
      <c r="Y71" s="146">
        <f t="shared" si="47"/>
        <v>108.75</v>
      </c>
      <c r="Z71" s="146">
        <f t="shared" si="47"/>
        <v>73.75</v>
      </c>
      <c r="AA71" s="146">
        <f t="shared" si="47"/>
        <v>200.24999999999997</v>
      </c>
      <c r="AB71" s="146">
        <f t="shared" si="47"/>
        <v>85.88333333333334</v>
      </c>
      <c r="AC71" s="146">
        <f t="shared" si="47"/>
        <v>468.63333333333327</v>
      </c>
      <c r="AD71" s="146">
        <f t="shared" si="47"/>
        <v>29359667</v>
      </c>
      <c r="AE71" s="146">
        <f t="shared" si="47"/>
        <v>2024496</v>
      </c>
      <c r="AF71" s="146">
        <f t="shared" si="47"/>
        <v>2811800</v>
      </c>
      <c r="AG71" s="146">
        <f t="shared" si="47"/>
        <v>1124720</v>
      </c>
      <c r="AH71" s="146">
        <f t="shared" si="47"/>
        <v>4123973.3333333335</v>
      </c>
      <c r="AI71" s="146">
        <f t="shared" si="47"/>
        <v>374906.66666666669</v>
      </c>
      <c r="AJ71" s="146">
        <f t="shared" si="47"/>
        <v>140000</v>
      </c>
      <c r="AK71" s="146">
        <f t="shared" si="47"/>
        <v>449888</v>
      </c>
      <c r="AL71" s="146">
        <f t="shared" si="47"/>
        <v>12156520.470000001</v>
      </c>
      <c r="AM71" s="146">
        <f t="shared" si="47"/>
        <v>52565971.469999999</v>
      </c>
      <c r="AN71" s="146">
        <f t="shared" si="47"/>
        <v>31539581</v>
      </c>
      <c r="AO71" s="146">
        <f t="shared" si="47"/>
        <v>0</v>
      </c>
      <c r="AP71" s="146">
        <f t="shared" si="47"/>
        <v>31539581</v>
      </c>
      <c r="AQ71" s="146">
        <f t="shared" si="47"/>
        <v>10513196</v>
      </c>
    </row>
    <row r="72" spans="1:43" ht="15" customHeight="1">
      <c r="A72" s="141" t="s">
        <v>537</v>
      </c>
      <c r="B72" s="240" t="s">
        <v>2140</v>
      </c>
      <c r="C72" s="240" t="s">
        <v>2099</v>
      </c>
      <c r="D72" s="672">
        <v>2</v>
      </c>
      <c r="E72" s="165">
        <v>4</v>
      </c>
      <c r="F72" s="165">
        <v>3</v>
      </c>
      <c r="G72" s="165">
        <v>31</v>
      </c>
      <c r="H72" s="165">
        <v>3</v>
      </c>
      <c r="I72" s="144">
        <f t="shared" ref="I72:I117" si="48">SUM(E72:H72)</f>
        <v>41</v>
      </c>
      <c r="J72" s="672">
        <v>1</v>
      </c>
      <c r="K72" s="672">
        <v>0</v>
      </c>
      <c r="L72" s="672">
        <v>4.666666666666667</v>
      </c>
      <c r="M72" s="672">
        <v>1.4166666666666667</v>
      </c>
      <c r="N72" s="144">
        <f t="shared" ref="N72:N117" si="49">SUM(J72:M72)</f>
        <v>7.0833333333333339</v>
      </c>
      <c r="O72" s="144">
        <f t="shared" ref="O72:R90" si="50">E72+J72</f>
        <v>5</v>
      </c>
      <c r="P72" s="144">
        <f t="shared" si="50"/>
        <v>3</v>
      </c>
      <c r="Q72" s="144">
        <f t="shared" si="50"/>
        <v>35.666666666666664</v>
      </c>
      <c r="R72" s="144">
        <f t="shared" si="50"/>
        <v>4.416666666666667</v>
      </c>
      <c r="S72" s="144">
        <f t="shared" ref="S72:S117" si="51">SUM(O72:R72)</f>
        <v>48.083333333333329</v>
      </c>
      <c r="T72" s="672">
        <v>6</v>
      </c>
      <c r="U72" s="672">
        <v>5</v>
      </c>
      <c r="V72" s="672">
        <v>27.5</v>
      </c>
      <c r="W72" s="672">
        <v>1.4166666666666667</v>
      </c>
      <c r="X72" s="144">
        <f t="shared" ref="X72:X117" si="52">SUM(T72:W72)</f>
        <v>39.916666666666664</v>
      </c>
      <c r="Y72" s="672">
        <v>6</v>
      </c>
      <c r="Z72" s="672">
        <v>5</v>
      </c>
      <c r="AA72" s="672">
        <v>27.5</v>
      </c>
      <c r="AB72" s="672">
        <v>1.4166666666666667</v>
      </c>
      <c r="AC72" s="144">
        <f t="shared" ref="AC72:AC117" si="53">SUM(Y72:AB72)</f>
        <v>39.916666666666664</v>
      </c>
      <c r="AD72" s="144">
        <f t="shared" si="37"/>
        <v>2534494</v>
      </c>
      <c r="AE72" s="144">
        <f t="shared" si="38"/>
        <v>172440</v>
      </c>
      <c r="AF72" s="144">
        <f t="shared" si="39"/>
        <v>239500</v>
      </c>
      <c r="AG72" s="144">
        <f t="shared" si="40"/>
        <v>95800</v>
      </c>
      <c r="AH72" s="144">
        <f t="shared" si="41"/>
        <v>351266.66666666663</v>
      </c>
      <c r="AI72" s="144">
        <f t="shared" si="42"/>
        <v>31933.333333333332</v>
      </c>
      <c r="AJ72" s="144">
        <f t="shared" si="43"/>
        <v>20000</v>
      </c>
      <c r="AK72" s="144">
        <f t="shared" si="44"/>
        <v>38320</v>
      </c>
      <c r="AL72" s="144">
        <f t="shared" si="45"/>
        <v>1050401.8700000001</v>
      </c>
      <c r="AM72" s="144">
        <f t="shared" si="46"/>
        <v>4534155.87</v>
      </c>
      <c r="AN72" s="675">
        <f t="shared" si="34"/>
        <v>2720494</v>
      </c>
      <c r="AO72" s="675"/>
      <c r="AP72" s="675">
        <f t="shared" si="35"/>
        <v>2720494</v>
      </c>
      <c r="AQ72" s="675">
        <f t="shared" si="36"/>
        <v>906831</v>
      </c>
    </row>
    <row r="73" spans="1:43" ht="15" customHeight="1">
      <c r="A73" s="141" t="s">
        <v>537</v>
      </c>
      <c r="B73" s="240" t="s">
        <v>2141</v>
      </c>
      <c r="C73" s="240" t="s">
        <v>2099</v>
      </c>
      <c r="D73" s="672">
        <v>1</v>
      </c>
      <c r="E73" s="165">
        <v>2</v>
      </c>
      <c r="F73" s="165">
        <v>2</v>
      </c>
      <c r="G73" s="165">
        <v>17</v>
      </c>
      <c r="H73" s="165">
        <v>3</v>
      </c>
      <c r="I73" s="144">
        <f t="shared" si="48"/>
        <v>24</v>
      </c>
      <c r="J73" s="672">
        <v>1</v>
      </c>
      <c r="K73" s="672">
        <v>0</v>
      </c>
      <c r="L73" s="672">
        <v>0</v>
      </c>
      <c r="M73" s="672">
        <v>0</v>
      </c>
      <c r="N73" s="144">
        <f t="shared" si="49"/>
        <v>1</v>
      </c>
      <c r="O73" s="144">
        <f t="shared" si="50"/>
        <v>3</v>
      </c>
      <c r="P73" s="144">
        <f t="shared" si="50"/>
        <v>2</v>
      </c>
      <c r="Q73" s="144">
        <f t="shared" si="50"/>
        <v>17</v>
      </c>
      <c r="R73" s="144">
        <f t="shared" si="50"/>
        <v>3</v>
      </c>
      <c r="S73" s="144">
        <f t="shared" si="51"/>
        <v>25</v>
      </c>
      <c r="T73" s="672">
        <v>4.583333333333333</v>
      </c>
      <c r="U73" s="672">
        <v>1</v>
      </c>
      <c r="V73" s="672">
        <v>18</v>
      </c>
      <c r="W73" s="672">
        <v>2</v>
      </c>
      <c r="X73" s="144">
        <f t="shared" si="52"/>
        <v>25.583333333333332</v>
      </c>
      <c r="Y73" s="672">
        <v>3</v>
      </c>
      <c r="Z73" s="672">
        <v>2</v>
      </c>
      <c r="AA73" s="672">
        <v>17</v>
      </c>
      <c r="AB73" s="672">
        <v>3</v>
      </c>
      <c r="AC73" s="144">
        <f t="shared" si="53"/>
        <v>25</v>
      </c>
      <c r="AD73" s="144">
        <f t="shared" si="37"/>
        <v>1555188</v>
      </c>
      <c r="AE73" s="144">
        <f t="shared" si="38"/>
        <v>108000</v>
      </c>
      <c r="AF73" s="144">
        <f t="shared" si="39"/>
        <v>150000</v>
      </c>
      <c r="AG73" s="144">
        <f t="shared" si="40"/>
        <v>60000</v>
      </c>
      <c r="AH73" s="144">
        <f t="shared" si="41"/>
        <v>220000</v>
      </c>
      <c r="AI73" s="144">
        <f t="shared" si="42"/>
        <v>20000</v>
      </c>
      <c r="AJ73" s="144">
        <f t="shared" si="43"/>
        <v>10000</v>
      </c>
      <c r="AK73" s="144">
        <f t="shared" si="44"/>
        <v>24000</v>
      </c>
      <c r="AL73" s="144">
        <f t="shared" si="45"/>
        <v>645463.02</v>
      </c>
      <c r="AM73" s="144">
        <f t="shared" si="46"/>
        <v>2792651.02</v>
      </c>
      <c r="AN73" s="675">
        <f t="shared" si="34"/>
        <v>1675591</v>
      </c>
      <c r="AO73" s="675"/>
      <c r="AP73" s="675">
        <f t="shared" si="35"/>
        <v>1675591</v>
      </c>
      <c r="AQ73" s="675">
        <f t="shared" si="36"/>
        <v>558530</v>
      </c>
    </row>
    <row r="74" spans="1:43" ht="15" customHeight="1">
      <c r="A74" s="141" t="s">
        <v>537</v>
      </c>
      <c r="B74" s="240" t="s">
        <v>2142</v>
      </c>
      <c r="C74" s="240" t="s">
        <v>2099</v>
      </c>
      <c r="D74" s="672">
        <v>2</v>
      </c>
      <c r="E74" s="165">
        <v>3</v>
      </c>
      <c r="F74" s="165">
        <v>3</v>
      </c>
      <c r="G74" s="165">
        <v>24</v>
      </c>
      <c r="H74" s="165">
        <v>3</v>
      </c>
      <c r="I74" s="144">
        <f t="shared" si="48"/>
        <v>33</v>
      </c>
      <c r="J74" s="672">
        <v>2</v>
      </c>
      <c r="K74" s="672">
        <v>1</v>
      </c>
      <c r="L74" s="672">
        <v>0</v>
      </c>
      <c r="M74" s="672">
        <v>0</v>
      </c>
      <c r="N74" s="144">
        <f t="shared" si="49"/>
        <v>3</v>
      </c>
      <c r="O74" s="144">
        <f t="shared" si="50"/>
        <v>5</v>
      </c>
      <c r="P74" s="144">
        <f t="shared" si="50"/>
        <v>4</v>
      </c>
      <c r="Q74" s="144">
        <f t="shared" si="50"/>
        <v>24</v>
      </c>
      <c r="R74" s="144">
        <f t="shared" si="50"/>
        <v>3</v>
      </c>
      <c r="S74" s="144">
        <f t="shared" si="51"/>
        <v>36</v>
      </c>
      <c r="T74" s="672">
        <v>3</v>
      </c>
      <c r="U74" s="672">
        <v>2</v>
      </c>
      <c r="V74" s="672">
        <v>24.25</v>
      </c>
      <c r="W74" s="672">
        <v>2</v>
      </c>
      <c r="X74" s="144">
        <f t="shared" si="52"/>
        <v>31.25</v>
      </c>
      <c r="Y74" s="672">
        <v>3</v>
      </c>
      <c r="Z74" s="672">
        <v>2</v>
      </c>
      <c r="AA74" s="672">
        <v>24.25</v>
      </c>
      <c r="AB74" s="672">
        <v>2</v>
      </c>
      <c r="AC74" s="144">
        <f t="shared" si="53"/>
        <v>31.25</v>
      </c>
      <c r="AD74" s="144">
        <f t="shared" si="37"/>
        <v>1956066</v>
      </c>
      <c r="AE74" s="144">
        <f t="shared" si="38"/>
        <v>135000</v>
      </c>
      <c r="AF74" s="144">
        <f t="shared" si="39"/>
        <v>187500</v>
      </c>
      <c r="AG74" s="144">
        <f t="shared" si="40"/>
        <v>75000</v>
      </c>
      <c r="AH74" s="144">
        <f t="shared" si="41"/>
        <v>275000</v>
      </c>
      <c r="AI74" s="144">
        <f t="shared" si="42"/>
        <v>25000</v>
      </c>
      <c r="AJ74" s="144">
        <f t="shared" si="43"/>
        <v>20000</v>
      </c>
      <c r="AK74" s="144">
        <f t="shared" si="44"/>
        <v>30000</v>
      </c>
      <c r="AL74" s="144">
        <f t="shared" si="45"/>
        <v>813830.16</v>
      </c>
      <c r="AM74" s="144">
        <f t="shared" si="46"/>
        <v>3517396.16</v>
      </c>
      <c r="AN74" s="675">
        <f t="shared" si="34"/>
        <v>2110438</v>
      </c>
      <c r="AO74" s="675"/>
      <c r="AP74" s="675">
        <f t="shared" si="35"/>
        <v>2110438</v>
      </c>
      <c r="AQ74" s="675">
        <f t="shared" si="36"/>
        <v>703479</v>
      </c>
    </row>
    <row r="75" spans="1:43" ht="15" customHeight="1">
      <c r="A75" s="141" t="s">
        <v>537</v>
      </c>
      <c r="B75" s="240" t="s">
        <v>450</v>
      </c>
      <c r="C75" s="240" t="s">
        <v>2099</v>
      </c>
      <c r="D75" s="672">
        <v>5</v>
      </c>
      <c r="E75" s="165">
        <v>7</v>
      </c>
      <c r="F75" s="165">
        <v>4</v>
      </c>
      <c r="G75" s="165">
        <v>59</v>
      </c>
      <c r="H75" s="165">
        <v>6</v>
      </c>
      <c r="I75" s="144">
        <f t="shared" si="48"/>
        <v>76</v>
      </c>
      <c r="J75" s="672">
        <v>4</v>
      </c>
      <c r="K75" s="672">
        <v>0</v>
      </c>
      <c r="L75" s="672">
        <v>0</v>
      </c>
      <c r="M75" s="672">
        <v>0</v>
      </c>
      <c r="N75" s="144">
        <f t="shared" si="49"/>
        <v>4</v>
      </c>
      <c r="O75" s="144">
        <f t="shared" si="50"/>
        <v>11</v>
      </c>
      <c r="P75" s="144">
        <f t="shared" si="50"/>
        <v>4</v>
      </c>
      <c r="Q75" s="144">
        <f t="shared" si="50"/>
        <v>59</v>
      </c>
      <c r="R75" s="144">
        <f t="shared" si="50"/>
        <v>6</v>
      </c>
      <c r="S75" s="144">
        <f t="shared" si="51"/>
        <v>80</v>
      </c>
      <c r="T75" s="672">
        <v>7.5</v>
      </c>
      <c r="U75" s="672">
        <v>9</v>
      </c>
      <c r="V75" s="672">
        <v>59.833333333333336</v>
      </c>
      <c r="W75" s="672">
        <v>3</v>
      </c>
      <c r="X75" s="144">
        <f t="shared" si="52"/>
        <v>79.333333333333343</v>
      </c>
      <c r="Y75" s="672">
        <v>7.5</v>
      </c>
      <c r="Z75" s="672">
        <v>9</v>
      </c>
      <c r="AA75" s="672">
        <v>59.833333333333336</v>
      </c>
      <c r="AB75" s="672">
        <v>3</v>
      </c>
      <c r="AC75" s="144">
        <f t="shared" si="53"/>
        <v>79.333333333333343</v>
      </c>
      <c r="AD75" s="144">
        <f t="shared" si="37"/>
        <v>4990822</v>
      </c>
      <c r="AE75" s="144">
        <f t="shared" si="38"/>
        <v>342720.00000000006</v>
      </c>
      <c r="AF75" s="144">
        <f t="shared" si="39"/>
        <v>476000.00000000006</v>
      </c>
      <c r="AG75" s="144">
        <f t="shared" si="40"/>
        <v>190400.00000000003</v>
      </c>
      <c r="AH75" s="144">
        <f t="shared" si="41"/>
        <v>698133.33333333337</v>
      </c>
      <c r="AI75" s="144">
        <f t="shared" si="42"/>
        <v>63466.666666666672</v>
      </c>
      <c r="AJ75" s="144">
        <f t="shared" si="43"/>
        <v>50000</v>
      </c>
      <c r="AK75" s="144">
        <f t="shared" si="44"/>
        <v>76160.000000000015</v>
      </c>
      <c r="AL75" s="144">
        <f t="shared" si="45"/>
        <v>2074714.01</v>
      </c>
      <c r="AM75" s="144">
        <f t="shared" si="46"/>
        <v>8962416.0099999998</v>
      </c>
      <c r="AN75" s="675">
        <f t="shared" si="34"/>
        <v>5377450</v>
      </c>
      <c r="AO75" s="675"/>
      <c r="AP75" s="675">
        <f t="shared" si="35"/>
        <v>5377450</v>
      </c>
      <c r="AQ75" s="675">
        <f t="shared" si="36"/>
        <v>1792483</v>
      </c>
    </row>
    <row r="76" spans="1:43" ht="15" customHeight="1">
      <c r="A76" s="141" t="s">
        <v>537</v>
      </c>
      <c r="B76" s="240" t="s">
        <v>2143</v>
      </c>
      <c r="C76" s="240" t="s">
        <v>2099</v>
      </c>
      <c r="D76" s="672">
        <v>2</v>
      </c>
      <c r="E76" s="165">
        <v>3</v>
      </c>
      <c r="F76" s="165">
        <v>3</v>
      </c>
      <c r="G76" s="165">
        <v>24</v>
      </c>
      <c r="H76" s="165">
        <v>3</v>
      </c>
      <c r="I76" s="144">
        <f t="shared" si="48"/>
        <v>33</v>
      </c>
      <c r="J76" s="672">
        <v>3</v>
      </c>
      <c r="K76" s="672">
        <v>1</v>
      </c>
      <c r="L76" s="672">
        <v>2</v>
      </c>
      <c r="M76" s="672">
        <v>0</v>
      </c>
      <c r="N76" s="144">
        <f t="shared" si="49"/>
        <v>6</v>
      </c>
      <c r="O76" s="144">
        <f t="shared" si="50"/>
        <v>6</v>
      </c>
      <c r="P76" s="144">
        <f t="shared" si="50"/>
        <v>4</v>
      </c>
      <c r="Q76" s="144">
        <f t="shared" si="50"/>
        <v>26</v>
      </c>
      <c r="R76" s="144">
        <f t="shared" si="50"/>
        <v>3</v>
      </c>
      <c r="S76" s="144">
        <f t="shared" si="51"/>
        <v>39</v>
      </c>
      <c r="T76" s="672">
        <v>5</v>
      </c>
      <c r="U76" s="672">
        <v>1</v>
      </c>
      <c r="V76" s="672">
        <v>24</v>
      </c>
      <c r="W76" s="672">
        <v>2</v>
      </c>
      <c r="X76" s="144">
        <f t="shared" si="52"/>
        <v>32</v>
      </c>
      <c r="Y76" s="672">
        <v>5</v>
      </c>
      <c r="Z76" s="672">
        <v>1</v>
      </c>
      <c r="AA76" s="672">
        <v>24</v>
      </c>
      <c r="AB76" s="672">
        <v>2</v>
      </c>
      <c r="AC76" s="144">
        <f t="shared" si="53"/>
        <v>32</v>
      </c>
      <c r="AD76" s="144">
        <f t="shared" si="37"/>
        <v>2021892</v>
      </c>
      <c r="AE76" s="144">
        <f t="shared" si="38"/>
        <v>138240</v>
      </c>
      <c r="AF76" s="144">
        <f t="shared" si="39"/>
        <v>192000</v>
      </c>
      <c r="AG76" s="144">
        <f t="shared" si="40"/>
        <v>76800</v>
      </c>
      <c r="AH76" s="144">
        <f t="shared" si="41"/>
        <v>281600</v>
      </c>
      <c r="AI76" s="144">
        <f t="shared" si="42"/>
        <v>25600</v>
      </c>
      <c r="AJ76" s="144">
        <f t="shared" si="43"/>
        <v>20000</v>
      </c>
      <c r="AK76" s="144">
        <f t="shared" si="44"/>
        <v>30720</v>
      </c>
      <c r="AL76" s="144">
        <f t="shared" si="45"/>
        <v>839941.34</v>
      </c>
      <c r="AM76" s="144">
        <f t="shared" si="46"/>
        <v>3626793.34</v>
      </c>
      <c r="AN76" s="675">
        <f t="shared" si="34"/>
        <v>2176076</v>
      </c>
      <c r="AO76" s="675"/>
      <c r="AP76" s="675">
        <f t="shared" si="35"/>
        <v>2176076</v>
      </c>
      <c r="AQ76" s="675">
        <f t="shared" si="36"/>
        <v>725359</v>
      </c>
    </row>
    <row r="77" spans="1:43" ht="15" customHeight="1">
      <c r="A77" s="141" t="s">
        <v>537</v>
      </c>
      <c r="B77" s="240" t="s">
        <v>447</v>
      </c>
      <c r="C77" s="240" t="s">
        <v>2101</v>
      </c>
      <c r="D77" s="672"/>
      <c r="E77" s="165">
        <v>10</v>
      </c>
      <c r="F77" s="165">
        <v>7</v>
      </c>
      <c r="G77" s="165">
        <v>0</v>
      </c>
      <c r="H77" s="165">
        <v>9</v>
      </c>
      <c r="I77" s="144">
        <f t="shared" si="48"/>
        <v>26</v>
      </c>
      <c r="J77" s="672">
        <v>1.4166666666666667</v>
      </c>
      <c r="K77" s="672">
        <v>0</v>
      </c>
      <c r="L77" s="672">
        <v>0</v>
      </c>
      <c r="M77" s="672">
        <v>0</v>
      </c>
      <c r="N77" s="144">
        <f t="shared" si="49"/>
        <v>1.4166666666666667</v>
      </c>
      <c r="O77" s="144">
        <f t="shared" si="50"/>
        <v>11.416666666666666</v>
      </c>
      <c r="P77" s="144">
        <f t="shared" si="50"/>
        <v>7</v>
      </c>
      <c r="Q77" s="144">
        <f t="shared" si="50"/>
        <v>0</v>
      </c>
      <c r="R77" s="144">
        <f t="shared" si="50"/>
        <v>9</v>
      </c>
      <c r="S77" s="144">
        <f t="shared" si="51"/>
        <v>27.416666666666664</v>
      </c>
      <c r="T77" s="672">
        <v>10.166666666666666</v>
      </c>
      <c r="U77" s="672">
        <v>2</v>
      </c>
      <c r="V77" s="672">
        <v>0</v>
      </c>
      <c r="W77" s="672">
        <v>9</v>
      </c>
      <c r="X77" s="144">
        <f t="shared" si="52"/>
        <v>21.166666666666664</v>
      </c>
      <c r="Y77" s="672">
        <v>10.166666666666666</v>
      </c>
      <c r="Z77" s="672">
        <v>2</v>
      </c>
      <c r="AA77" s="672">
        <v>0</v>
      </c>
      <c r="AB77" s="672">
        <v>9</v>
      </c>
      <c r="AC77" s="144">
        <f t="shared" si="53"/>
        <v>21.166666666666664</v>
      </c>
      <c r="AD77" s="144">
        <f t="shared" si="37"/>
        <v>1319074</v>
      </c>
      <c r="AE77" s="144">
        <f t="shared" si="38"/>
        <v>91439.999999999985</v>
      </c>
      <c r="AF77" s="144">
        <f t="shared" si="39"/>
        <v>126999.99999999999</v>
      </c>
      <c r="AG77" s="144">
        <f t="shared" si="40"/>
        <v>50799.999999999993</v>
      </c>
      <c r="AH77" s="144">
        <f t="shared" si="41"/>
        <v>186266.66666666666</v>
      </c>
      <c r="AI77" s="144">
        <f t="shared" si="42"/>
        <v>16933.333333333332</v>
      </c>
      <c r="AJ77" s="144">
        <f t="shared" si="43"/>
        <v>0</v>
      </c>
      <c r="AK77" s="144">
        <f t="shared" si="44"/>
        <v>20319.999999999996</v>
      </c>
      <c r="AL77" s="144">
        <f t="shared" si="45"/>
        <v>544304.29</v>
      </c>
      <c r="AM77" s="144">
        <f t="shared" si="46"/>
        <v>2356138.29</v>
      </c>
      <c r="AN77" s="675">
        <f t="shared" si="34"/>
        <v>1413683</v>
      </c>
      <c r="AO77" s="675"/>
      <c r="AP77" s="675">
        <f t="shared" si="35"/>
        <v>1413683</v>
      </c>
      <c r="AQ77" s="675">
        <f t="shared" si="36"/>
        <v>471228</v>
      </c>
    </row>
    <row r="78" spans="1:43" ht="15" customHeight="1">
      <c r="A78" s="141" t="s">
        <v>537</v>
      </c>
      <c r="B78" s="240" t="s">
        <v>446</v>
      </c>
      <c r="C78" s="240" t="s">
        <v>2101</v>
      </c>
      <c r="D78" s="672"/>
      <c r="E78" s="165">
        <v>0</v>
      </c>
      <c r="F78" s="165">
        <v>4</v>
      </c>
      <c r="G78" s="165">
        <v>0</v>
      </c>
      <c r="H78" s="165">
        <v>5</v>
      </c>
      <c r="I78" s="144">
        <f t="shared" si="48"/>
        <v>9</v>
      </c>
      <c r="J78" s="672">
        <v>1</v>
      </c>
      <c r="K78" s="672">
        <v>0</v>
      </c>
      <c r="L78" s="672">
        <v>0</v>
      </c>
      <c r="M78" s="672">
        <v>1</v>
      </c>
      <c r="N78" s="144">
        <f t="shared" si="49"/>
        <v>2</v>
      </c>
      <c r="O78" s="144">
        <f t="shared" si="50"/>
        <v>1</v>
      </c>
      <c r="P78" s="144">
        <f t="shared" si="50"/>
        <v>4</v>
      </c>
      <c r="Q78" s="144">
        <f t="shared" si="50"/>
        <v>0</v>
      </c>
      <c r="R78" s="144">
        <f t="shared" si="50"/>
        <v>6</v>
      </c>
      <c r="S78" s="144">
        <f t="shared" si="51"/>
        <v>11</v>
      </c>
      <c r="T78" s="672">
        <v>3.25</v>
      </c>
      <c r="U78" s="672">
        <v>1.9166666666666667</v>
      </c>
      <c r="V78" s="672">
        <v>0</v>
      </c>
      <c r="W78" s="672">
        <v>4.083333333333333</v>
      </c>
      <c r="X78" s="144">
        <f t="shared" si="52"/>
        <v>9.25</v>
      </c>
      <c r="Y78" s="672">
        <v>3.25</v>
      </c>
      <c r="Z78" s="672">
        <v>1.9166666666666667</v>
      </c>
      <c r="AA78" s="672">
        <v>0</v>
      </c>
      <c r="AB78" s="672">
        <v>4.083333333333333</v>
      </c>
      <c r="AC78" s="144">
        <f t="shared" si="53"/>
        <v>9.25</v>
      </c>
      <c r="AD78" s="144">
        <f t="shared" si="37"/>
        <v>563663</v>
      </c>
      <c r="AE78" s="144">
        <f t="shared" si="38"/>
        <v>39960</v>
      </c>
      <c r="AF78" s="144">
        <f t="shared" si="39"/>
        <v>55500</v>
      </c>
      <c r="AG78" s="144">
        <f t="shared" si="40"/>
        <v>22200</v>
      </c>
      <c r="AH78" s="144">
        <f t="shared" si="41"/>
        <v>81400</v>
      </c>
      <c r="AI78" s="144">
        <f t="shared" si="42"/>
        <v>7400</v>
      </c>
      <c r="AJ78" s="144">
        <f t="shared" si="43"/>
        <v>0</v>
      </c>
      <c r="AK78" s="144">
        <f t="shared" si="44"/>
        <v>8880</v>
      </c>
      <c r="AL78" s="144">
        <f t="shared" si="45"/>
        <v>233294.67</v>
      </c>
      <c r="AM78" s="144">
        <f t="shared" si="46"/>
        <v>1012297.67</v>
      </c>
      <c r="AN78" s="675">
        <f t="shared" si="34"/>
        <v>607379</v>
      </c>
      <c r="AO78" s="675"/>
      <c r="AP78" s="675">
        <f t="shared" si="35"/>
        <v>607379</v>
      </c>
      <c r="AQ78" s="675">
        <f t="shared" si="36"/>
        <v>202460</v>
      </c>
    </row>
    <row r="79" spans="1:43" ht="15" customHeight="1">
      <c r="A79" s="141" t="s">
        <v>537</v>
      </c>
      <c r="B79" s="240" t="s">
        <v>908</v>
      </c>
      <c r="C79" s="240" t="s">
        <v>2101</v>
      </c>
      <c r="D79" s="672"/>
      <c r="E79" s="165">
        <v>8</v>
      </c>
      <c r="F79" s="165">
        <v>6</v>
      </c>
      <c r="G79" s="165">
        <v>0</v>
      </c>
      <c r="H79" s="165">
        <v>8</v>
      </c>
      <c r="I79" s="144">
        <f t="shared" si="48"/>
        <v>22</v>
      </c>
      <c r="J79" s="672">
        <v>0.5</v>
      </c>
      <c r="K79" s="672">
        <v>0.5</v>
      </c>
      <c r="L79" s="672">
        <v>0</v>
      </c>
      <c r="M79" s="672">
        <v>0</v>
      </c>
      <c r="N79" s="144">
        <f t="shared" si="49"/>
        <v>1</v>
      </c>
      <c r="O79" s="144">
        <f t="shared" si="50"/>
        <v>8.5</v>
      </c>
      <c r="P79" s="144">
        <f t="shared" si="50"/>
        <v>6.5</v>
      </c>
      <c r="Q79" s="144">
        <f t="shared" si="50"/>
        <v>0</v>
      </c>
      <c r="R79" s="144">
        <f t="shared" si="50"/>
        <v>8</v>
      </c>
      <c r="S79" s="144">
        <f t="shared" si="51"/>
        <v>23</v>
      </c>
      <c r="T79" s="672">
        <v>5.583333333333333</v>
      </c>
      <c r="U79" s="672">
        <v>8</v>
      </c>
      <c r="V79" s="672">
        <v>0</v>
      </c>
      <c r="W79" s="672">
        <v>9.5</v>
      </c>
      <c r="X79" s="144">
        <f t="shared" si="52"/>
        <v>23.083333333333332</v>
      </c>
      <c r="Y79" s="672">
        <v>8.5</v>
      </c>
      <c r="Z79" s="672">
        <v>6.5</v>
      </c>
      <c r="AA79" s="672">
        <v>0</v>
      </c>
      <c r="AB79" s="672">
        <v>8</v>
      </c>
      <c r="AC79" s="144">
        <f t="shared" si="53"/>
        <v>23</v>
      </c>
      <c r="AD79" s="144">
        <f t="shared" si="37"/>
        <v>1431234</v>
      </c>
      <c r="AE79" s="144">
        <f t="shared" si="38"/>
        <v>99360</v>
      </c>
      <c r="AF79" s="144">
        <f t="shared" si="39"/>
        <v>138000</v>
      </c>
      <c r="AG79" s="144">
        <f t="shared" si="40"/>
        <v>55200</v>
      </c>
      <c r="AH79" s="144">
        <f t="shared" si="41"/>
        <v>202400</v>
      </c>
      <c r="AI79" s="144">
        <f t="shared" si="42"/>
        <v>18400</v>
      </c>
      <c r="AJ79" s="144">
        <f t="shared" si="43"/>
        <v>0</v>
      </c>
      <c r="AK79" s="144">
        <f t="shared" si="44"/>
        <v>22080</v>
      </c>
      <c r="AL79" s="144">
        <f t="shared" si="45"/>
        <v>590701.28</v>
      </c>
      <c r="AM79" s="144">
        <f t="shared" si="46"/>
        <v>2557375.2800000003</v>
      </c>
      <c r="AN79" s="675">
        <f t="shared" si="34"/>
        <v>1534425</v>
      </c>
      <c r="AO79" s="675"/>
      <c r="AP79" s="675">
        <f t="shared" si="35"/>
        <v>1534425</v>
      </c>
      <c r="AQ79" s="675">
        <f t="shared" si="36"/>
        <v>511475</v>
      </c>
    </row>
    <row r="80" spans="1:43" ht="15" customHeight="1">
      <c r="A80" s="141" t="s">
        <v>537</v>
      </c>
      <c r="B80" s="240" t="s">
        <v>445</v>
      </c>
      <c r="C80" s="240" t="s">
        <v>2101</v>
      </c>
      <c r="D80" s="672"/>
      <c r="E80" s="165">
        <v>10</v>
      </c>
      <c r="F80" s="165">
        <v>15</v>
      </c>
      <c r="G80" s="165">
        <v>0</v>
      </c>
      <c r="H80" s="165">
        <v>18</v>
      </c>
      <c r="I80" s="144">
        <f t="shared" si="48"/>
        <v>43</v>
      </c>
      <c r="J80" s="672">
        <v>0.66666666666666663</v>
      </c>
      <c r="K80" s="672">
        <v>0</v>
      </c>
      <c r="L80" s="672">
        <v>0</v>
      </c>
      <c r="M80" s="672">
        <v>0</v>
      </c>
      <c r="N80" s="144">
        <f t="shared" si="49"/>
        <v>0.66666666666666663</v>
      </c>
      <c r="O80" s="144">
        <f t="shared" si="50"/>
        <v>10.666666666666666</v>
      </c>
      <c r="P80" s="144">
        <f t="shared" si="50"/>
        <v>15</v>
      </c>
      <c r="Q80" s="144">
        <f t="shared" si="50"/>
        <v>0</v>
      </c>
      <c r="R80" s="144">
        <f t="shared" si="50"/>
        <v>18</v>
      </c>
      <c r="S80" s="144">
        <f t="shared" si="51"/>
        <v>43.666666666666664</v>
      </c>
      <c r="T80" s="672">
        <v>9.9166666666666661</v>
      </c>
      <c r="U80" s="672">
        <v>11.333333333333334</v>
      </c>
      <c r="V80" s="672">
        <v>0</v>
      </c>
      <c r="W80" s="672">
        <v>22.333333333333332</v>
      </c>
      <c r="X80" s="144">
        <f t="shared" si="52"/>
        <v>43.583333333333329</v>
      </c>
      <c r="Y80" s="672">
        <v>9.9166666666666661</v>
      </c>
      <c r="Z80" s="672">
        <v>11.333333333333334</v>
      </c>
      <c r="AA80" s="672">
        <v>0</v>
      </c>
      <c r="AB80" s="672">
        <v>22.333333333333332</v>
      </c>
      <c r="AC80" s="144">
        <f t="shared" si="53"/>
        <v>43.583333333333329</v>
      </c>
      <c r="AD80" s="144">
        <f t="shared" si="37"/>
        <v>2569023</v>
      </c>
      <c r="AE80" s="144">
        <f t="shared" si="38"/>
        <v>188279.99999999997</v>
      </c>
      <c r="AF80" s="144">
        <f t="shared" si="39"/>
        <v>261499.99999999997</v>
      </c>
      <c r="AG80" s="144">
        <f t="shared" si="40"/>
        <v>104599.99999999999</v>
      </c>
      <c r="AH80" s="144">
        <f t="shared" si="41"/>
        <v>383533.33333333331</v>
      </c>
      <c r="AI80" s="144">
        <f t="shared" si="42"/>
        <v>34866.666666666664</v>
      </c>
      <c r="AJ80" s="144">
        <f t="shared" si="43"/>
        <v>0</v>
      </c>
      <c r="AK80" s="144">
        <f t="shared" si="44"/>
        <v>41839.999999999993</v>
      </c>
      <c r="AL80" s="144">
        <f t="shared" si="45"/>
        <v>1068182.97</v>
      </c>
      <c r="AM80" s="144">
        <f t="shared" si="46"/>
        <v>4651825.97</v>
      </c>
      <c r="AN80" s="675">
        <f t="shared" si="34"/>
        <v>2791096</v>
      </c>
      <c r="AO80" s="675"/>
      <c r="AP80" s="675">
        <f t="shared" si="35"/>
        <v>2791096</v>
      </c>
      <c r="AQ80" s="675">
        <f t="shared" si="36"/>
        <v>930365</v>
      </c>
    </row>
    <row r="81" spans="1:43" ht="15" customHeight="1">
      <c r="A81" s="141" t="s">
        <v>537</v>
      </c>
      <c r="B81" s="240" t="s">
        <v>2144</v>
      </c>
      <c r="C81" s="240" t="s">
        <v>2101</v>
      </c>
      <c r="D81" s="672"/>
      <c r="E81" s="165">
        <v>0</v>
      </c>
      <c r="F81" s="165">
        <v>4</v>
      </c>
      <c r="G81" s="165">
        <v>0</v>
      </c>
      <c r="H81" s="165">
        <v>5</v>
      </c>
      <c r="I81" s="144">
        <f t="shared" si="48"/>
        <v>9</v>
      </c>
      <c r="J81" s="672">
        <v>0</v>
      </c>
      <c r="K81" s="672">
        <v>1.5</v>
      </c>
      <c r="L81" s="672">
        <v>0</v>
      </c>
      <c r="M81" s="672">
        <v>0</v>
      </c>
      <c r="N81" s="144">
        <f t="shared" si="49"/>
        <v>1.5</v>
      </c>
      <c r="O81" s="144">
        <f t="shared" si="50"/>
        <v>0</v>
      </c>
      <c r="P81" s="144">
        <f t="shared" si="50"/>
        <v>5.5</v>
      </c>
      <c r="Q81" s="144">
        <f t="shared" si="50"/>
        <v>0</v>
      </c>
      <c r="R81" s="144">
        <f t="shared" si="50"/>
        <v>5</v>
      </c>
      <c r="S81" s="144">
        <f t="shared" si="51"/>
        <v>10.5</v>
      </c>
      <c r="T81" s="672">
        <v>0</v>
      </c>
      <c r="U81" s="672">
        <v>2</v>
      </c>
      <c r="V81" s="672">
        <v>0</v>
      </c>
      <c r="W81" s="672">
        <v>5.416666666666667</v>
      </c>
      <c r="X81" s="144">
        <f t="shared" si="52"/>
        <v>7.416666666666667</v>
      </c>
      <c r="Y81" s="672">
        <v>0</v>
      </c>
      <c r="Z81" s="672">
        <v>2</v>
      </c>
      <c r="AA81" s="672">
        <v>0</v>
      </c>
      <c r="AB81" s="672">
        <v>5.416666666666667</v>
      </c>
      <c r="AC81" s="144">
        <f t="shared" si="53"/>
        <v>7.416666666666667</v>
      </c>
      <c r="AD81" s="144">
        <f t="shared" si="37"/>
        <v>402250</v>
      </c>
      <c r="AE81" s="144">
        <f t="shared" si="38"/>
        <v>32040</v>
      </c>
      <c r="AF81" s="144">
        <f t="shared" si="39"/>
        <v>44500</v>
      </c>
      <c r="AG81" s="144">
        <f t="shared" si="40"/>
        <v>17800</v>
      </c>
      <c r="AH81" s="144">
        <f t="shared" si="41"/>
        <v>65266.666666666672</v>
      </c>
      <c r="AI81" s="144">
        <f t="shared" si="42"/>
        <v>5933.3333333333339</v>
      </c>
      <c r="AJ81" s="144">
        <f t="shared" si="43"/>
        <v>0</v>
      </c>
      <c r="AK81" s="144">
        <f t="shared" si="44"/>
        <v>7120</v>
      </c>
      <c r="AL81" s="144">
        <f t="shared" si="45"/>
        <v>169286.78</v>
      </c>
      <c r="AM81" s="144">
        <f t="shared" si="46"/>
        <v>744196.78</v>
      </c>
      <c r="AN81" s="675">
        <f t="shared" si="34"/>
        <v>446518</v>
      </c>
      <c r="AO81" s="675"/>
      <c r="AP81" s="675">
        <f t="shared" si="35"/>
        <v>446518</v>
      </c>
      <c r="AQ81" s="675">
        <f t="shared" si="36"/>
        <v>148839</v>
      </c>
    </row>
    <row r="82" spans="1:43" ht="15" customHeight="1">
      <c r="A82" s="141" t="s">
        <v>537</v>
      </c>
      <c r="B82" s="240" t="s">
        <v>442</v>
      </c>
      <c r="C82" s="240" t="s">
        <v>2101</v>
      </c>
      <c r="D82" s="672"/>
      <c r="E82" s="165">
        <v>0</v>
      </c>
      <c r="F82" s="165">
        <v>5</v>
      </c>
      <c r="G82" s="165">
        <v>0</v>
      </c>
      <c r="H82" s="165">
        <v>5</v>
      </c>
      <c r="I82" s="144">
        <f t="shared" si="48"/>
        <v>10</v>
      </c>
      <c r="J82" s="672">
        <v>2</v>
      </c>
      <c r="K82" s="672">
        <v>0</v>
      </c>
      <c r="L82" s="672">
        <v>0</v>
      </c>
      <c r="M82" s="672">
        <v>0</v>
      </c>
      <c r="N82" s="144">
        <f t="shared" si="49"/>
        <v>2</v>
      </c>
      <c r="O82" s="144">
        <f t="shared" si="50"/>
        <v>2</v>
      </c>
      <c r="P82" s="144">
        <f t="shared" si="50"/>
        <v>5</v>
      </c>
      <c r="Q82" s="144">
        <f t="shared" si="50"/>
        <v>0</v>
      </c>
      <c r="R82" s="144">
        <f t="shared" si="50"/>
        <v>5</v>
      </c>
      <c r="S82" s="144">
        <f t="shared" si="51"/>
        <v>12</v>
      </c>
      <c r="T82" s="672">
        <v>1.5833333333333333</v>
      </c>
      <c r="U82" s="672">
        <v>2.25</v>
      </c>
      <c r="V82" s="672">
        <v>1.5</v>
      </c>
      <c r="W82" s="672">
        <v>6.5</v>
      </c>
      <c r="X82" s="144">
        <f t="shared" si="52"/>
        <v>11.833333333333332</v>
      </c>
      <c r="Y82" s="672">
        <v>1.5833333333333333</v>
      </c>
      <c r="Z82" s="672">
        <v>2.25</v>
      </c>
      <c r="AA82" s="672">
        <v>1.5</v>
      </c>
      <c r="AB82" s="672">
        <v>6.5</v>
      </c>
      <c r="AC82" s="144">
        <f t="shared" si="53"/>
        <v>11.833333333333332</v>
      </c>
      <c r="AD82" s="144">
        <f t="shared" si="37"/>
        <v>681065</v>
      </c>
      <c r="AE82" s="144">
        <f t="shared" si="38"/>
        <v>51119.999999999993</v>
      </c>
      <c r="AF82" s="144">
        <f t="shared" si="39"/>
        <v>71000</v>
      </c>
      <c r="AG82" s="144">
        <f t="shared" si="40"/>
        <v>28399.999999999996</v>
      </c>
      <c r="AH82" s="144">
        <f t="shared" si="41"/>
        <v>104133.33333333333</v>
      </c>
      <c r="AI82" s="144">
        <f t="shared" si="42"/>
        <v>9466.6666666666661</v>
      </c>
      <c r="AJ82" s="144">
        <f t="shared" si="43"/>
        <v>0</v>
      </c>
      <c r="AK82" s="144">
        <f t="shared" si="44"/>
        <v>11359.999999999998</v>
      </c>
      <c r="AL82" s="144">
        <f t="shared" si="45"/>
        <v>284140.42</v>
      </c>
      <c r="AM82" s="144">
        <f t="shared" si="46"/>
        <v>1240685.42</v>
      </c>
      <c r="AN82" s="675">
        <f t="shared" si="34"/>
        <v>744411</v>
      </c>
      <c r="AO82" s="675"/>
      <c r="AP82" s="675">
        <f t="shared" si="35"/>
        <v>744411</v>
      </c>
      <c r="AQ82" s="675">
        <f t="shared" si="36"/>
        <v>248137</v>
      </c>
    </row>
    <row r="83" spans="1:43" ht="15" customHeight="1">
      <c r="A83" s="141" t="s">
        <v>537</v>
      </c>
      <c r="B83" s="240" t="s">
        <v>907</v>
      </c>
      <c r="C83" s="240" t="s">
        <v>2101</v>
      </c>
      <c r="D83" s="672"/>
      <c r="E83" s="165">
        <v>0</v>
      </c>
      <c r="F83" s="165">
        <v>5</v>
      </c>
      <c r="G83" s="165">
        <v>0</v>
      </c>
      <c r="H83" s="165">
        <v>6</v>
      </c>
      <c r="I83" s="144">
        <f t="shared" si="48"/>
        <v>11</v>
      </c>
      <c r="J83" s="672">
        <v>3</v>
      </c>
      <c r="K83" s="672">
        <v>1</v>
      </c>
      <c r="L83" s="672">
        <v>0</v>
      </c>
      <c r="M83" s="672">
        <v>1.9166666666666667</v>
      </c>
      <c r="N83" s="144">
        <f t="shared" si="49"/>
        <v>5.916666666666667</v>
      </c>
      <c r="O83" s="144">
        <f t="shared" si="50"/>
        <v>3</v>
      </c>
      <c r="P83" s="144">
        <f t="shared" si="50"/>
        <v>6</v>
      </c>
      <c r="Q83" s="144">
        <f t="shared" si="50"/>
        <v>0</v>
      </c>
      <c r="R83" s="144">
        <f t="shared" si="50"/>
        <v>7.916666666666667</v>
      </c>
      <c r="S83" s="144">
        <f t="shared" si="51"/>
        <v>16.916666666666668</v>
      </c>
      <c r="T83" s="672">
        <v>1.3333333333333333</v>
      </c>
      <c r="U83" s="672">
        <v>7.583333333333333</v>
      </c>
      <c r="V83" s="672">
        <v>0</v>
      </c>
      <c r="W83" s="672">
        <v>8.4166666666666661</v>
      </c>
      <c r="X83" s="144">
        <f t="shared" si="52"/>
        <v>17.333333333333332</v>
      </c>
      <c r="Y83" s="672">
        <v>3</v>
      </c>
      <c r="Z83" s="672">
        <v>6</v>
      </c>
      <c r="AA83" s="672">
        <v>0</v>
      </c>
      <c r="AB83" s="672">
        <v>7.916666666666667</v>
      </c>
      <c r="AC83" s="144">
        <f t="shared" si="53"/>
        <v>16.916666666666668</v>
      </c>
      <c r="AD83" s="144">
        <f t="shared" si="37"/>
        <v>998362.00000000012</v>
      </c>
      <c r="AE83" s="144">
        <f t="shared" si="38"/>
        <v>73080</v>
      </c>
      <c r="AF83" s="144">
        <f t="shared" si="39"/>
        <v>101500</v>
      </c>
      <c r="AG83" s="144">
        <f t="shared" si="40"/>
        <v>40600</v>
      </c>
      <c r="AH83" s="144">
        <f t="shared" si="41"/>
        <v>148866.66666666669</v>
      </c>
      <c r="AI83" s="144">
        <f t="shared" si="42"/>
        <v>13533.333333333334</v>
      </c>
      <c r="AJ83" s="144">
        <f t="shared" si="43"/>
        <v>0</v>
      </c>
      <c r="AK83" s="144">
        <f t="shared" si="44"/>
        <v>16240.000000000002</v>
      </c>
      <c r="AL83" s="144">
        <f t="shared" si="45"/>
        <v>415042.06</v>
      </c>
      <c r="AM83" s="144">
        <f t="shared" si="46"/>
        <v>1807224.06</v>
      </c>
      <c r="AN83" s="675">
        <f t="shared" si="34"/>
        <v>1084334</v>
      </c>
      <c r="AO83" s="675"/>
      <c r="AP83" s="675">
        <f t="shared" si="35"/>
        <v>1084334</v>
      </c>
      <c r="AQ83" s="675">
        <f t="shared" si="36"/>
        <v>361445</v>
      </c>
    </row>
    <row r="84" spans="1:43" ht="15" customHeight="1">
      <c r="A84" s="141" t="s">
        <v>537</v>
      </c>
      <c r="B84" s="240" t="s">
        <v>906</v>
      </c>
      <c r="C84" s="240" t="s">
        <v>2101</v>
      </c>
      <c r="D84" s="672"/>
      <c r="E84" s="165">
        <v>0</v>
      </c>
      <c r="F84" s="165">
        <v>10</v>
      </c>
      <c r="G84" s="165">
        <v>0</v>
      </c>
      <c r="H84" s="165">
        <v>11</v>
      </c>
      <c r="I84" s="144">
        <f t="shared" si="48"/>
        <v>21</v>
      </c>
      <c r="J84" s="672">
        <v>20.333333333333332</v>
      </c>
      <c r="K84" s="672">
        <v>4.583333333333333</v>
      </c>
      <c r="L84" s="672">
        <v>0</v>
      </c>
      <c r="M84" s="672">
        <v>0</v>
      </c>
      <c r="N84" s="144">
        <f t="shared" si="49"/>
        <v>24.916666666666664</v>
      </c>
      <c r="O84" s="144">
        <f t="shared" si="50"/>
        <v>20.333333333333332</v>
      </c>
      <c r="P84" s="144">
        <f t="shared" si="50"/>
        <v>14.583333333333332</v>
      </c>
      <c r="Q84" s="144">
        <f t="shared" si="50"/>
        <v>0</v>
      </c>
      <c r="R84" s="144">
        <f t="shared" si="50"/>
        <v>11</v>
      </c>
      <c r="S84" s="144">
        <f t="shared" si="51"/>
        <v>45.916666666666664</v>
      </c>
      <c r="T84" s="672">
        <v>12.083333333333334</v>
      </c>
      <c r="U84" s="672">
        <v>10.166666666666666</v>
      </c>
      <c r="V84" s="672">
        <v>8.3333333333333329E-2</v>
      </c>
      <c r="W84" s="672">
        <v>12.25</v>
      </c>
      <c r="X84" s="144">
        <f t="shared" si="52"/>
        <v>34.583333333333329</v>
      </c>
      <c r="Y84" s="672">
        <v>12.083333333333334</v>
      </c>
      <c r="Z84" s="672">
        <v>10.166666666666666</v>
      </c>
      <c r="AA84" s="672">
        <v>8.3333333333333329E-2</v>
      </c>
      <c r="AB84" s="672">
        <v>12.25</v>
      </c>
      <c r="AC84" s="144">
        <f t="shared" si="53"/>
        <v>34.583333333333329</v>
      </c>
      <c r="AD84" s="144">
        <f t="shared" si="37"/>
        <v>2142909</v>
      </c>
      <c r="AE84" s="144">
        <f t="shared" si="38"/>
        <v>149399.99999999997</v>
      </c>
      <c r="AF84" s="144">
        <f t="shared" si="39"/>
        <v>207499.99999999997</v>
      </c>
      <c r="AG84" s="144">
        <f t="shared" si="40"/>
        <v>82999.999999999985</v>
      </c>
      <c r="AH84" s="144">
        <f t="shared" si="41"/>
        <v>304333.33333333331</v>
      </c>
      <c r="AI84" s="144">
        <f t="shared" si="42"/>
        <v>27666.666666666664</v>
      </c>
      <c r="AJ84" s="144">
        <f t="shared" si="43"/>
        <v>0</v>
      </c>
      <c r="AK84" s="144">
        <f t="shared" si="44"/>
        <v>33199.999999999993</v>
      </c>
      <c r="AL84" s="144">
        <f t="shared" si="45"/>
        <v>884928.46</v>
      </c>
      <c r="AM84" s="144">
        <f t="shared" si="46"/>
        <v>3832937.46</v>
      </c>
      <c r="AN84" s="675">
        <f t="shared" si="34"/>
        <v>2299762</v>
      </c>
      <c r="AO84" s="675"/>
      <c r="AP84" s="675">
        <f t="shared" si="35"/>
        <v>2299762</v>
      </c>
      <c r="AQ84" s="675">
        <f t="shared" si="36"/>
        <v>766587</v>
      </c>
    </row>
    <row r="85" spans="1:43" ht="15" customHeight="1">
      <c r="A85" s="141" t="s">
        <v>537</v>
      </c>
      <c r="B85" s="240" t="s">
        <v>438</v>
      </c>
      <c r="C85" s="240" t="s">
        <v>2099</v>
      </c>
      <c r="D85" s="672"/>
      <c r="E85" s="165">
        <v>0</v>
      </c>
      <c r="F85" s="165">
        <v>4</v>
      </c>
      <c r="G85" s="165">
        <v>0</v>
      </c>
      <c r="H85" s="165">
        <v>5</v>
      </c>
      <c r="I85" s="144">
        <f t="shared" si="48"/>
        <v>9</v>
      </c>
      <c r="J85" s="672">
        <v>2</v>
      </c>
      <c r="K85" s="672">
        <v>1</v>
      </c>
      <c r="L85" s="672">
        <v>0</v>
      </c>
      <c r="M85" s="672">
        <v>1</v>
      </c>
      <c r="N85" s="144">
        <f t="shared" si="49"/>
        <v>4</v>
      </c>
      <c r="O85" s="144">
        <f t="shared" si="50"/>
        <v>2</v>
      </c>
      <c r="P85" s="144">
        <f t="shared" si="50"/>
        <v>5</v>
      </c>
      <c r="Q85" s="144">
        <f t="shared" si="50"/>
        <v>0</v>
      </c>
      <c r="R85" s="144">
        <f t="shared" si="50"/>
        <v>6</v>
      </c>
      <c r="S85" s="144">
        <f t="shared" si="51"/>
        <v>13</v>
      </c>
      <c r="T85" s="672">
        <v>2.5833333333333335</v>
      </c>
      <c r="U85" s="672">
        <v>3</v>
      </c>
      <c r="V85" s="672">
        <v>0</v>
      </c>
      <c r="W85" s="672">
        <v>7</v>
      </c>
      <c r="X85" s="144">
        <f t="shared" si="52"/>
        <v>12.583333333333334</v>
      </c>
      <c r="Y85" s="672">
        <v>2.5833333333333335</v>
      </c>
      <c r="Z85" s="672">
        <v>3</v>
      </c>
      <c r="AA85" s="672">
        <v>0</v>
      </c>
      <c r="AB85" s="672">
        <v>7</v>
      </c>
      <c r="AC85" s="144">
        <f t="shared" si="53"/>
        <v>12.583333333333334</v>
      </c>
      <c r="AD85" s="144">
        <f t="shared" si="37"/>
        <v>732527</v>
      </c>
      <c r="AE85" s="144">
        <f t="shared" si="38"/>
        <v>54360</v>
      </c>
      <c r="AF85" s="144">
        <f t="shared" si="39"/>
        <v>75500</v>
      </c>
      <c r="AG85" s="144">
        <f t="shared" si="40"/>
        <v>30200</v>
      </c>
      <c r="AH85" s="144">
        <f t="shared" si="41"/>
        <v>110733.33333333334</v>
      </c>
      <c r="AI85" s="144">
        <f t="shared" si="42"/>
        <v>10066.666666666668</v>
      </c>
      <c r="AJ85" s="144">
        <f t="shared" si="43"/>
        <v>0</v>
      </c>
      <c r="AK85" s="144">
        <f t="shared" si="44"/>
        <v>12080</v>
      </c>
      <c r="AL85" s="144">
        <f t="shared" si="45"/>
        <v>305115.59999999998</v>
      </c>
      <c r="AM85" s="144">
        <f t="shared" si="46"/>
        <v>1330582.6000000001</v>
      </c>
      <c r="AN85" s="675">
        <f t="shared" si="34"/>
        <v>798350</v>
      </c>
      <c r="AO85" s="675"/>
      <c r="AP85" s="675">
        <f t="shared" si="35"/>
        <v>798350</v>
      </c>
      <c r="AQ85" s="675">
        <f t="shared" si="36"/>
        <v>266117</v>
      </c>
    </row>
    <row r="86" spans="1:43" ht="15" customHeight="1">
      <c r="A86" s="141" t="s">
        <v>537</v>
      </c>
      <c r="B86" s="240" t="s">
        <v>1447</v>
      </c>
      <c r="C86" s="240" t="s">
        <v>2099</v>
      </c>
      <c r="D86" s="672">
        <v>1</v>
      </c>
      <c r="E86" s="165">
        <v>2</v>
      </c>
      <c r="F86" s="165">
        <v>2</v>
      </c>
      <c r="G86" s="165">
        <v>16</v>
      </c>
      <c r="H86" s="165">
        <v>3</v>
      </c>
      <c r="I86" s="144">
        <f t="shared" si="48"/>
        <v>23</v>
      </c>
      <c r="J86" s="672">
        <v>1</v>
      </c>
      <c r="K86" s="672">
        <v>0.66666666666666663</v>
      </c>
      <c r="L86" s="672">
        <v>1.3333333333333333</v>
      </c>
      <c r="M86" s="672">
        <v>0</v>
      </c>
      <c r="N86" s="144">
        <f t="shared" si="49"/>
        <v>3</v>
      </c>
      <c r="O86" s="144">
        <f t="shared" si="50"/>
        <v>3</v>
      </c>
      <c r="P86" s="144">
        <f t="shared" si="50"/>
        <v>2.6666666666666665</v>
      </c>
      <c r="Q86" s="144">
        <f t="shared" si="50"/>
        <v>17.333333333333332</v>
      </c>
      <c r="R86" s="144">
        <f t="shared" si="50"/>
        <v>3</v>
      </c>
      <c r="S86" s="144">
        <f t="shared" si="51"/>
        <v>26</v>
      </c>
      <c r="T86" s="672">
        <v>5.25</v>
      </c>
      <c r="U86" s="672">
        <v>2.3333333333333335</v>
      </c>
      <c r="V86" s="672">
        <v>11.5</v>
      </c>
      <c r="W86" s="672">
        <v>0.83333333333333337</v>
      </c>
      <c r="X86" s="144">
        <f t="shared" si="52"/>
        <v>19.916666666666668</v>
      </c>
      <c r="Y86" s="672">
        <v>5.25</v>
      </c>
      <c r="Z86" s="672">
        <v>2.3333333333333335</v>
      </c>
      <c r="AA86" s="672">
        <v>11.5</v>
      </c>
      <c r="AB86" s="672">
        <v>0.83333333333333337</v>
      </c>
      <c r="AC86" s="144">
        <f t="shared" si="53"/>
        <v>19.916666666666668</v>
      </c>
      <c r="AD86" s="144">
        <f t="shared" si="37"/>
        <v>1285343</v>
      </c>
      <c r="AE86" s="144">
        <f t="shared" si="38"/>
        <v>86040</v>
      </c>
      <c r="AF86" s="144">
        <f t="shared" si="39"/>
        <v>119500</v>
      </c>
      <c r="AG86" s="144">
        <f t="shared" si="40"/>
        <v>47800</v>
      </c>
      <c r="AH86" s="144">
        <f t="shared" si="41"/>
        <v>175266.66666666669</v>
      </c>
      <c r="AI86" s="144">
        <f t="shared" si="42"/>
        <v>15933.333333333334</v>
      </c>
      <c r="AJ86" s="144">
        <f t="shared" si="43"/>
        <v>10000</v>
      </c>
      <c r="AK86" s="144">
        <f t="shared" si="44"/>
        <v>19120</v>
      </c>
      <c r="AL86" s="144">
        <f t="shared" si="45"/>
        <v>531528.31999999995</v>
      </c>
      <c r="AM86" s="144">
        <f t="shared" si="46"/>
        <v>2290531.3199999998</v>
      </c>
      <c r="AN86" s="675">
        <f t="shared" si="34"/>
        <v>1374319</v>
      </c>
      <c r="AO86" s="675"/>
      <c r="AP86" s="675">
        <f t="shared" si="35"/>
        <v>1374319</v>
      </c>
      <c r="AQ86" s="675">
        <f t="shared" si="36"/>
        <v>458106</v>
      </c>
    </row>
    <row r="87" spans="1:43" ht="15" customHeight="1">
      <c r="A87" s="141" t="s">
        <v>537</v>
      </c>
      <c r="B87" s="240" t="s">
        <v>1049</v>
      </c>
      <c r="C87" s="240" t="s">
        <v>2099</v>
      </c>
      <c r="D87" s="672">
        <v>1</v>
      </c>
      <c r="E87" s="165">
        <v>5</v>
      </c>
      <c r="F87" s="165">
        <v>3</v>
      </c>
      <c r="G87" s="165">
        <v>37</v>
      </c>
      <c r="H87" s="165">
        <v>4</v>
      </c>
      <c r="I87" s="144">
        <f t="shared" si="48"/>
        <v>49</v>
      </c>
      <c r="J87" s="672">
        <v>0</v>
      </c>
      <c r="K87" s="672">
        <v>0</v>
      </c>
      <c r="L87" s="672">
        <v>0</v>
      </c>
      <c r="M87" s="672">
        <v>0</v>
      </c>
      <c r="N87" s="144">
        <f t="shared" si="49"/>
        <v>0</v>
      </c>
      <c r="O87" s="144">
        <f t="shared" si="50"/>
        <v>5</v>
      </c>
      <c r="P87" s="144">
        <f t="shared" si="50"/>
        <v>3</v>
      </c>
      <c r="Q87" s="144">
        <f t="shared" si="50"/>
        <v>37</v>
      </c>
      <c r="R87" s="144">
        <f t="shared" si="50"/>
        <v>4</v>
      </c>
      <c r="S87" s="144">
        <f t="shared" si="51"/>
        <v>49</v>
      </c>
      <c r="T87" s="672">
        <v>0</v>
      </c>
      <c r="U87" s="672">
        <v>2</v>
      </c>
      <c r="V87" s="672">
        <v>40.333333333333336</v>
      </c>
      <c r="W87" s="672">
        <v>2</v>
      </c>
      <c r="X87" s="144">
        <f t="shared" si="52"/>
        <v>44.333333333333336</v>
      </c>
      <c r="Y87" s="672">
        <v>0</v>
      </c>
      <c r="Z87" s="672">
        <v>2</v>
      </c>
      <c r="AA87" s="672">
        <v>40.333333333333336</v>
      </c>
      <c r="AB87" s="672">
        <v>2</v>
      </c>
      <c r="AC87" s="144">
        <f t="shared" si="53"/>
        <v>44.333333333333336</v>
      </c>
      <c r="AD87" s="144">
        <f t="shared" si="37"/>
        <v>2741896</v>
      </c>
      <c r="AE87" s="144">
        <f t="shared" si="38"/>
        <v>191520</v>
      </c>
      <c r="AF87" s="144">
        <f t="shared" si="39"/>
        <v>266000</v>
      </c>
      <c r="AG87" s="144">
        <f t="shared" si="40"/>
        <v>106400</v>
      </c>
      <c r="AH87" s="144">
        <f t="shared" si="41"/>
        <v>390133.33333333337</v>
      </c>
      <c r="AI87" s="144">
        <f t="shared" si="42"/>
        <v>35466.666666666672</v>
      </c>
      <c r="AJ87" s="144">
        <f t="shared" si="43"/>
        <v>10000</v>
      </c>
      <c r="AK87" s="144">
        <f t="shared" si="44"/>
        <v>42560</v>
      </c>
      <c r="AL87" s="144">
        <f t="shared" si="45"/>
        <v>1136145.47</v>
      </c>
      <c r="AM87" s="144">
        <f t="shared" si="46"/>
        <v>4920121.47</v>
      </c>
      <c r="AN87" s="675">
        <f t="shared" si="34"/>
        <v>2952073</v>
      </c>
      <c r="AO87" s="675"/>
      <c r="AP87" s="675">
        <f t="shared" si="35"/>
        <v>2952073</v>
      </c>
      <c r="AQ87" s="675">
        <f t="shared" si="36"/>
        <v>984024</v>
      </c>
    </row>
    <row r="88" spans="1:43" s="678" customFormat="1" ht="15" customHeight="1">
      <c r="A88" s="141" t="s">
        <v>537</v>
      </c>
      <c r="B88" s="240" t="s">
        <v>2145</v>
      </c>
      <c r="C88" s="240" t="s">
        <v>2099</v>
      </c>
      <c r="D88" s="672">
        <v>1</v>
      </c>
      <c r="E88" s="165">
        <v>1</v>
      </c>
      <c r="F88" s="165">
        <v>1</v>
      </c>
      <c r="G88" s="165">
        <v>4</v>
      </c>
      <c r="H88" s="165">
        <v>1</v>
      </c>
      <c r="I88" s="144">
        <f t="shared" si="48"/>
        <v>7</v>
      </c>
      <c r="J88" s="672">
        <v>0</v>
      </c>
      <c r="K88" s="672">
        <v>1</v>
      </c>
      <c r="L88" s="672">
        <v>0</v>
      </c>
      <c r="M88" s="672">
        <v>0</v>
      </c>
      <c r="N88" s="144">
        <f t="shared" si="49"/>
        <v>1</v>
      </c>
      <c r="O88" s="144">
        <f t="shared" si="50"/>
        <v>1</v>
      </c>
      <c r="P88" s="144">
        <f t="shared" si="50"/>
        <v>2</v>
      </c>
      <c r="Q88" s="144">
        <f t="shared" si="50"/>
        <v>4</v>
      </c>
      <c r="R88" s="144">
        <f t="shared" si="50"/>
        <v>1</v>
      </c>
      <c r="S88" s="144">
        <f t="shared" si="51"/>
        <v>8</v>
      </c>
      <c r="T88" s="672">
        <v>0.33333333333333331</v>
      </c>
      <c r="U88" s="672">
        <v>0.58333333333333337</v>
      </c>
      <c r="V88" s="672">
        <v>1.3333333333333333</v>
      </c>
      <c r="W88" s="672">
        <v>0.33333333333333331</v>
      </c>
      <c r="X88" s="144">
        <f t="shared" si="52"/>
        <v>2.5833333333333335</v>
      </c>
      <c r="Y88" s="672">
        <v>0.33333333333333331</v>
      </c>
      <c r="Z88" s="672">
        <v>0.58333333333333337</v>
      </c>
      <c r="AA88" s="672">
        <v>1.3333333333333333</v>
      </c>
      <c r="AB88" s="672">
        <v>0.33333333333333331</v>
      </c>
      <c r="AC88" s="144">
        <f t="shared" si="53"/>
        <v>2.5833333333333335</v>
      </c>
      <c r="AD88" s="144">
        <f t="shared" si="37"/>
        <v>160922</v>
      </c>
      <c r="AE88" s="144">
        <f t="shared" si="38"/>
        <v>11160</v>
      </c>
      <c r="AF88" s="144">
        <f t="shared" si="39"/>
        <v>15500</v>
      </c>
      <c r="AG88" s="144">
        <f t="shared" si="40"/>
        <v>6200</v>
      </c>
      <c r="AH88" s="144">
        <f t="shared" si="41"/>
        <v>22733.333333333336</v>
      </c>
      <c r="AI88" s="144">
        <f t="shared" si="42"/>
        <v>2066.666666666667</v>
      </c>
      <c r="AJ88" s="144">
        <f t="shared" si="43"/>
        <v>10000</v>
      </c>
      <c r="AK88" s="144">
        <f t="shared" si="44"/>
        <v>2480</v>
      </c>
      <c r="AL88" s="144">
        <f t="shared" si="45"/>
        <v>69982.36</v>
      </c>
      <c r="AM88" s="144">
        <f t="shared" si="46"/>
        <v>301044.36</v>
      </c>
      <c r="AN88" s="675">
        <f t="shared" si="34"/>
        <v>180627</v>
      </c>
      <c r="AO88" s="677"/>
      <c r="AP88" s="675">
        <f t="shared" si="35"/>
        <v>180627</v>
      </c>
      <c r="AQ88" s="675">
        <f t="shared" si="36"/>
        <v>60209</v>
      </c>
    </row>
    <row r="89" spans="1:43" ht="15" customHeight="1">
      <c r="A89" s="141" t="s">
        <v>537</v>
      </c>
      <c r="B89" s="240" t="s">
        <v>2146</v>
      </c>
      <c r="C89" s="240" t="s">
        <v>2099</v>
      </c>
      <c r="D89" s="672">
        <v>1</v>
      </c>
      <c r="E89" s="165">
        <v>1</v>
      </c>
      <c r="F89" s="165">
        <v>1</v>
      </c>
      <c r="G89" s="165">
        <v>8</v>
      </c>
      <c r="H89" s="165">
        <v>1</v>
      </c>
      <c r="I89" s="144">
        <f t="shared" si="48"/>
        <v>11</v>
      </c>
      <c r="J89" s="672">
        <v>0</v>
      </c>
      <c r="K89" s="672">
        <v>2</v>
      </c>
      <c r="L89" s="672">
        <v>5</v>
      </c>
      <c r="M89" s="672">
        <v>1</v>
      </c>
      <c r="N89" s="144">
        <f t="shared" si="49"/>
        <v>8</v>
      </c>
      <c r="O89" s="144">
        <f t="shared" si="50"/>
        <v>1</v>
      </c>
      <c r="P89" s="144">
        <f t="shared" si="50"/>
        <v>3</v>
      </c>
      <c r="Q89" s="144">
        <f t="shared" si="50"/>
        <v>13</v>
      </c>
      <c r="R89" s="144">
        <f t="shared" si="50"/>
        <v>2</v>
      </c>
      <c r="S89" s="144">
        <f t="shared" si="51"/>
        <v>19</v>
      </c>
      <c r="T89" s="672">
        <v>0</v>
      </c>
      <c r="U89" s="672">
        <v>2</v>
      </c>
      <c r="V89" s="672">
        <v>6.166666666666667</v>
      </c>
      <c r="W89" s="672">
        <v>1</v>
      </c>
      <c r="X89" s="144">
        <f t="shared" si="52"/>
        <v>9.1666666666666679</v>
      </c>
      <c r="Y89" s="672">
        <v>0</v>
      </c>
      <c r="Z89" s="672">
        <v>2</v>
      </c>
      <c r="AA89" s="672">
        <v>6.166666666666667</v>
      </c>
      <c r="AB89" s="672">
        <v>1</v>
      </c>
      <c r="AC89" s="144">
        <f t="shared" si="53"/>
        <v>9.1666666666666679</v>
      </c>
      <c r="AD89" s="144">
        <f t="shared" si="37"/>
        <v>561356</v>
      </c>
      <c r="AE89" s="144">
        <f t="shared" si="38"/>
        <v>39600.000000000007</v>
      </c>
      <c r="AF89" s="144">
        <f t="shared" si="39"/>
        <v>55000.000000000007</v>
      </c>
      <c r="AG89" s="144">
        <f t="shared" si="40"/>
        <v>22000.000000000004</v>
      </c>
      <c r="AH89" s="144">
        <f t="shared" si="41"/>
        <v>80666.666666666672</v>
      </c>
      <c r="AI89" s="144">
        <f t="shared" si="42"/>
        <v>7333.3333333333339</v>
      </c>
      <c r="AJ89" s="144">
        <f t="shared" si="43"/>
        <v>10000</v>
      </c>
      <c r="AK89" s="144">
        <f t="shared" si="44"/>
        <v>8800.0000000000018</v>
      </c>
      <c r="AL89" s="144">
        <f t="shared" si="45"/>
        <v>235759.33</v>
      </c>
      <c r="AM89" s="144">
        <f t="shared" si="46"/>
        <v>1020515.33</v>
      </c>
      <c r="AN89" s="675">
        <f t="shared" si="34"/>
        <v>612309</v>
      </c>
      <c r="AO89" s="675"/>
      <c r="AP89" s="675">
        <f t="shared" si="35"/>
        <v>612309</v>
      </c>
      <c r="AQ89" s="675">
        <f t="shared" si="36"/>
        <v>204103</v>
      </c>
    </row>
    <row r="90" spans="1:43" ht="15" customHeight="1">
      <c r="A90" s="141" t="s">
        <v>537</v>
      </c>
      <c r="B90" s="240" t="s">
        <v>2147</v>
      </c>
      <c r="C90" s="240" t="s">
        <v>2101</v>
      </c>
      <c r="D90" s="672"/>
      <c r="E90" s="165">
        <v>0</v>
      </c>
      <c r="F90" s="165">
        <v>4</v>
      </c>
      <c r="G90" s="165">
        <v>0</v>
      </c>
      <c r="H90" s="165">
        <v>5</v>
      </c>
      <c r="I90" s="144">
        <f t="shared" si="48"/>
        <v>9</v>
      </c>
      <c r="J90" s="672">
        <v>4</v>
      </c>
      <c r="K90" s="672">
        <v>4</v>
      </c>
      <c r="L90" s="672">
        <v>0</v>
      </c>
      <c r="M90" s="672">
        <v>5.5</v>
      </c>
      <c r="N90" s="144">
        <f t="shared" si="49"/>
        <v>13.5</v>
      </c>
      <c r="O90" s="144">
        <f t="shared" si="50"/>
        <v>4</v>
      </c>
      <c r="P90" s="144">
        <f t="shared" si="50"/>
        <v>8</v>
      </c>
      <c r="Q90" s="144">
        <f t="shared" si="50"/>
        <v>0</v>
      </c>
      <c r="R90" s="144">
        <f t="shared" si="50"/>
        <v>10.5</v>
      </c>
      <c r="S90" s="144">
        <f t="shared" si="51"/>
        <v>22.5</v>
      </c>
      <c r="T90" s="672">
        <v>2.5833333333333335</v>
      </c>
      <c r="U90" s="672">
        <v>3</v>
      </c>
      <c r="V90" s="672">
        <v>0</v>
      </c>
      <c r="W90" s="672">
        <v>5.333333333333333</v>
      </c>
      <c r="X90" s="144">
        <f t="shared" si="52"/>
        <v>10.916666666666668</v>
      </c>
      <c r="Y90" s="672">
        <v>2.5833333333333335</v>
      </c>
      <c r="Z90" s="672">
        <v>3</v>
      </c>
      <c r="AA90" s="672">
        <v>0</v>
      </c>
      <c r="AB90" s="672">
        <v>5.333333333333333</v>
      </c>
      <c r="AC90" s="144">
        <f t="shared" si="53"/>
        <v>10.916666666666668</v>
      </c>
      <c r="AD90" s="144">
        <f t="shared" si="37"/>
        <v>647527</v>
      </c>
      <c r="AE90" s="144">
        <f t="shared" si="38"/>
        <v>47160.000000000007</v>
      </c>
      <c r="AF90" s="144">
        <f t="shared" si="39"/>
        <v>65500.000000000007</v>
      </c>
      <c r="AG90" s="144">
        <f t="shared" si="40"/>
        <v>26200.000000000004</v>
      </c>
      <c r="AH90" s="144">
        <f t="shared" si="41"/>
        <v>96066.666666666672</v>
      </c>
      <c r="AI90" s="144">
        <f t="shared" si="42"/>
        <v>8733.3333333333339</v>
      </c>
      <c r="AJ90" s="144">
        <f t="shared" si="43"/>
        <v>0</v>
      </c>
      <c r="AK90" s="144">
        <f t="shared" si="44"/>
        <v>10480.000000000002</v>
      </c>
      <c r="AL90" s="144">
        <f t="shared" si="45"/>
        <v>269002.03999999998</v>
      </c>
      <c r="AM90" s="144">
        <f t="shared" si="46"/>
        <v>1170669.04</v>
      </c>
      <c r="AN90" s="675">
        <f t="shared" si="34"/>
        <v>702401</v>
      </c>
      <c r="AO90" s="675"/>
      <c r="AP90" s="675">
        <f t="shared" si="35"/>
        <v>702401</v>
      </c>
      <c r="AQ90" s="675">
        <f t="shared" si="36"/>
        <v>234134</v>
      </c>
    </row>
    <row r="91" spans="1:43" ht="15" customHeight="1">
      <c r="A91" s="676"/>
      <c r="B91" s="676" t="s">
        <v>2148</v>
      </c>
      <c r="C91" s="676"/>
      <c r="D91" s="146">
        <f>SUM(D72:D90)</f>
        <v>16</v>
      </c>
      <c r="E91" s="146">
        <f t="shared" ref="E91:AQ91" si="54">SUM(E72:E90)</f>
        <v>56</v>
      </c>
      <c r="F91" s="146">
        <f t="shared" si="54"/>
        <v>86</v>
      </c>
      <c r="G91" s="146">
        <f t="shared" si="54"/>
        <v>220</v>
      </c>
      <c r="H91" s="146">
        <f t="shared" si="54"/>
        <v>104</v>
      </c>
      <c r="I91" s="146">
        <f t="shared" si="54"/>
        <v>466</v>
      </c>
      <c r="J91" s="146">
        <f t="shared" si="54"/>
        <v>46.916666666666664</v>
      </c>
      <c r="K91" s="146">
        <f t="shared" si="54"/>
        <v>18.25</v>
      </c>
      <c r="L91" s="146">
        <f t="shared" si="54"/>
        <v>13</v>
      </c>
      <c r="M91" s="146">
        <f t="shared" si="54"/>
        <v>11.833333333333334</v>
      </c>
      <c r="N91" s="146">
        <f t="shared" si="54"/>
        <v>90</v>
      </c>
      <c r="O91" s="146">
        <f t="shared" si="54"/>
        <v>102.91666666666666</v>
      </c>
      <c r="P91" s="146">
        <f t="shared" si="54"/>
        <v>104.25</v>
      </c>
      <c r="Q91" s="146">
        <f t="shared" si="54"/>
        <v>233</v>
      </c>
      <c r="R91" s="146">
        <f t="shared" si="54"/>
        <v>115.83333333333334</v>
      </c>
      <c r="S91" s="146">
        <f t="shared" si="54"/>
        <v>556</v>
      </c>
      <c r="T91" s="146">
        <f t="shared" si="54"/>
        <v>80.749999999999986</v>
      </c>
      <c r="U91" s="146">
        <f t="shared" si="54"/>
        <v>76.166666666666657</v>
      </c>
      <c r="V91" s="146">
        <f t="shared" si="54"/>
        <v>214.50000000000003</v>
      </c>
      <c r="W91" s="146">
        <f t="shared" si="54"/>
        <v>104.41666666666666</v>
      </c>
      <c r="X91" s="146">
        <f t="shared" si="54"/>
        <v>475.83333333333326</v>
      </c>
      <c r="Y91" s="146">
        <f t="shared" si="54"/>
        <v>83.749999999999986</v>
      </c>
      <c r="Z91" s="146">
        <f t="shared" si="54"/>
        <v>74.083333333333314</v>
      </c>
      <c r="AA91" s="146">
        <f t="shared" si="54"/>
        <v>213.50000000000003</v>
      </c>
      <c r="AB91" s="146">
        <f t="shared" si="54"/>
        <v>103.41666666666666</v>
      </c>
      <c r="AC91" s="146">
        <f t="shared" si="54"/>
        <v>474.74999999999994</v>
      </c>
      <c r="AD91" s="146">
        <f t="shared" si="54"/>
        <v>29295613</v>
      </c>
      <c r="AE91" s="146">
        <f t="shared" si="54"/>
        <v>2050920</v>
      </c>
      <c r="AF91" s="146">
        <f t="shared" si="54"/>
        <v>2848500</v>
      </c>
      <c r="AG91" s="146">
        <f t="shared" si="54"/>
        <v>1139400</v>
      </c>
      <c r="AH91" s="146">
        <f t="shared" si="54"/>
        <v>4177800.0000000005</v>
      </c>
      <c r="AI91" s="146">
        <f t="shared" si="54"/>
        <v>379800</v>
      </c>
      <c r="AJ91" s="146">
        <f t="shared" si="54"/>
        <v>160000</v>
      </c>
      <c r="AK91" s="146">
        <f t="shared" si="54"/>
        <v>455760</v>
      </c>
      <c r="AL91" s="146">
        <f t="shared" si="54"/>
        <v>12161764.450000001</v>
      </c>
      <c r="AM91" s="146">
        <f t="shared" si="54"/>
        <v>52669557.45000001</v>
      </c>
      <c r="AN91" s="146">
        <f t="shared" si="54"/>
        <v>31601736</v>
      </c>
      <c r="AO91" s="146">
        <f t="shared" si="54"/>
        <v>0</v>
      </c>
      <c r="AP91" s="146">
        <f t="shared" si="54"/>
        <v>31601736</v>
      </c>
      <c r="AQ91" s="146">
        <f t="shared" si="54"/>
        <v>10533911</v>
      </c>
    </row>
    <row r="92" spans="1:43" ht="15" customHeight="1">
      <c r="A92" s="141" t="s">
        <v>536</v>
      </c>
      <c r="B92" s="240" t="s">
        <v>2149</v>
      </c>
      <c r="C92" s="240" t="s">
        <v>2099</v>
      </c>
      <c r="D92" s="672">
        <v>2</v>
      </c>
      <c r="E92" s="144">
        <v>4</v>
      </c>
      <c r="F92" s="144">
        <v>3</v>
      </c>
      <c r="G92" s="144">
        <v>35</v>
      </c>
      <c r="H92" s="144">
        <v>4</v>
      </c>
      <c r="I92" s="144">
        <f t="shared" si="48"/>
        <v>46</v>
      </c>
      <c r="J92" s="672">
        <v>2.6666666666666665</v>
      </c>
      <c r="K92" s="672">
        <v>0</v>
      </c>
      <c r="L92" s="672">
        <v>3.3333333333333335</v>
      </c>
      <c r="M92" s="672">
        <v>0</v>
      </c>
      <c r="N92" s="144">
        <f t="shared" si="49"/>
        <v>6</v>
      </c>
      <c r="O92" s="144">
        <f t="shared" ref="O92:R97" si="55">E92+J92</f>
        <v>6.6666666666666661</v>
      </c>
      <c r="P92" s="144">
        <f t="shared" si="55"/>
        <v>3</v>
      </c>
      <c r="Q92" s="144">
        <f t="shared" si="55"/>
        <v>38.333333333333336</v>
      </c>
      <c r="R92" s="144">
        <f t="shared" si="55"/>
        <v>4</v>
      </c>
      <c r="S92" s="144">
        <f t="shared" si="51"/>
        <v>52</v>
      </c>
      <c r="T92" s="672">
        <v>9.5</v>
      </c>
      <c r="U92" s="672">
        <v>2</v>
      </c>
      <c r="V92" s="672">
        <v>32.583333333333336</v>
      </c>
      <c r="W92" s="672">
        <v>5.166666666666667</v>
      </c>
      <c r="X92" s="144">
        <f t="shared" si="52"/>
        <v>49.25</v>
      </c>
      <c r="Y92" s="672">
        <v>9.5</v>
      </c>
      <c r="Z92" s="672">
        <v>2</v>
      </c>
      <c r="AA92" s="672">
        <v>32.583333333333336</v>
      </c>
      <c r="AB92" s="672">
        <v>5.166666666666667</v>
      </c>
      <c r="AC92" s="144">
        <f t="shared" si="53"/>
        <v>49.25</v>
      </c>
      <c r="AD92" s="144">
        <f t="shared" si="37"/>
        <v>3106292</v>
      </c>
      <c r="AE92" s="144">
        <f t="shared" si="38"/>
        <v>212760</v>
      </c>
      <c r="AF92" s="144">
        <f t="shared" si="39"/>
        <v>295500</v>
      </c>
      <c r="AG92" s="144">
        <f t="shared" si="40"/>
        <v>118200</v>
      </c>
      <c r="AH92" s="144">
        <f t="shared" si="41"/>
        <v>433400</v>
      </c>
      <c r="AI92" s="144">
        <f t="shared" si="42"/>
        <v>39400</v>
      </c>
      <c r="AJ92" s="144">
        <f t="shared" si="43"/>
        <v>20000</v>
      </c>
      <c r="AK92" s="144">
        <f t="shared" si="44"/>
        <v>47280</v>
      </c>
      <c r="AL92" s="144">
        <f t="shared" si="45"/>
        <v>1286891.3400000001</v>
      </c>
      <c r="AM92" s="144">
        <f t="shared" si="46"/>
        <v>5559723.3399999999</v>
      </c>
      <c r="AN92" s="675">
        <f t="shared" si="34"/>
        <v>3335834</v>
      </c>
      <c r="AO92" s="675"/>
      <c r="AP92" s="675">
        <f t="shared" si="35"/>
        <v>3335834</v>
      </c>
      <c r="AQ92" s="675">
        <f t="shared" si="36"/>
        <v>1111945</v>
      </c>
    </row>
    <row r="93" spans="1:43" ht="15" customHeight="1">
      <c r="A93" s="141" t="s">
        <v>536</v>
      </c>
      <c r="B93" s="240" t="s">
        <v>2150</v>
      </c>
      <c r="C93" s="240" t="s">
        <v>2099</v>
      </c>
      <c r="D93" s="672">
        <v>1</v>
      </c>
      <c r="E93" s="144">
        <v>3</v>
      </c>
      <c r="F93" s="144">
        <v>2</v>
      </c>
      <c r="G93" s="144">
        <v>20</v>
      </c>
      <c r="H93" s="144">
        <v>3</v>
      </c>
      <c r="I93" s="144">
        <f t="shared" si="48"/>
        <v>28</v>
      </c>
      <c r="J93" s="672">
        <v>0</v>
      </c>
      <c r="K93" s="672">
        <v>0.41666666666666669</v>
      </c>
      <c r="L93" s="672">
        <v>0.41666666666666669</v>
      </c>
      <c r="M93" s="672">
        <v>0</v>
      </c>
      <c r="N93" s="144">
        <f t="shared" si="49"/>
        <v>0.83333333333333337</v>
      </c>
      <c r="O93" s="144">
        <f t="shared" si="55"/>
        <v>3</v>
      </c>
      <c r="P93" s="144">
        <f t="shared" si="55"/>
        <v>2.4166666666666665</v>
      </c>
      <c r="Q93" s="144">
        <f t="shared" si="55"/>
        <v>20.416666666666668</v>
      </c>
      <c r="R93" s="144">
        <f t="shared" si="55"/>
        <v>3</v>
      </c>
      <c r="S93" s="144">
        <f t="shared" si="51"/>
        <v>28.833333333333336</v>
      </c>
      <c r="T93" s="672">
        <v>2</v>
      </c>
      <c r="U93" s="672">
        <v>2.5</v>
      </c>
      <c r="V93" s="672">
        <v>18.833333333333332</v>
      </c>
      <c r="W93" s="672">
        <v>3.0833333333333335</v>
      </c>
      <c r="X93" s="144">
        <f t="shared" si="52"/>
        <v>26.416666666666664</v>
      </c>
      <c r="Y93" s="672">
        <v>2</v>
      </c>
      <c r="Z93" s="672">
        <v>2.5</v>
      </c>
      <c r="AA93" s="672">
        <v>18.833333333333332</v>
      </c>
      <c r="AB93" s="672">
        <v>3.0833333333333335</v>
      </c>
      <c r="AC93" s="144">
        <f t="shared" si="53"/>
        <v>26.416666666666664</v>
      </c>
      <c r="AD93" s="144">
        <f t="shared" si="37"/>
        <v>1633002</v>
      </c>
      <c r="AE93" s="144">
        <f t="shared" si="38"/>
        <v>114119.99999999999</v>
      </c>
      <c r="AF93" s="144">
        <f t="shared" si="39"/>
        <v>158500</v>
      </c>
      <c r="AG93" s="144">
        <f t="shared" si="40"/>
        <v>63399.999999999993</v>
      </c>
      <c r="AH93" s="144">
        <f t="shared" si="41"/>
        <v>232466.66666666666</v>
      </c>
      <c r="AI93" s="144">
        <f t="shared" si="42"/>
        <v>21133.333333333332</v>
      </c>
      <c r="AJ93" s="144">
        <f t="shared" si="43"/>
        <v>10000</v>
      </c>
      <c r="AK93" s="144">
        <f t="shared" si="44"/>
        <v>25359.999999999996</v>
      </c>
      <c r="AL93" s="144">
        <f t="shared" si="45"/>
        <v>678149.01</v>
      </c>
      <c r="AM93" s="144">
        <f t="shared" si="46"/>
        <v>2936131.01</v>
      </c>
      <c r="AN93" s="675">
        <f t="shared" si="34"/>
        <v>1761679</v>
      </c>
      <c r="AO93" s="675"/>
      <c r="AP93" s="675">
        <f t="shared" si="35"/>
        <v>1761679</v>
      </c>
      <c r="AQ93" s="675">
        <f t="shared" si="36"/>
        <v>587226</v>
      </c>
    </row>
    <row r="94" spans="1:43" ht="15" customHeight="1">
      <c r="A94" s="141" t="s">
        <v>536</v>
      </c>
      <c r="B94" s="240" t="s">
        <v>331</v>
      </c>
      <c r="C94" s="240" t="s">
        <v>2099</v>
      </c>
      <c r="D94" s="672">
        <v>1</v>
      </c>
      <c r="E94" s="144">
        <v>1</v>
      </c>
      <c r="F94" s="144">
        <v>1</v>
      </c>
      <c r="G94" s="144">
        <v>8</v>
      </c>
      <c r="H94" s="144">
        <v>2</v>
      </c>
      <c r="I94" s="144">
        <f t="shared" si="48"/>
        <v>12</v>
      </c>
      <c r="J94" s="672">
        <v>0</v>
      </c>
      <c r="K94" s="672">
        <v>0</v>
      </c>
      <c r="L94" s="672">
        <v>0</v>
      </c>
      <c r="M94" s="672">
        <v>0</v>
      </c>
      <c r="N94" s="144">
        <f t="shared" si="49"/>
        <v>0</v>
      </c>
      <c r="O94" s="144">
        <f t="shared" si="55"/>
        <v>1</v>
      </c>
      <c r="P94" s="144">
        <f t="shared" si="55"/>
        <v>1</v>
      </c>
      <c r="Q94" s="144">
        <f t="shared" si="55"/>
        <v>8</v>
      </c>
      <c r="R94" s="144">
        <f t="shared" si="55"/>
        <v>2</v>
      </c>
      <c r="S94" s="144">
        <f t="shared" si="51"/>
        <v>12</v>
      </c>
      <c r="T94" s="672">
        <v>0</v>
      </c>
      <c r="U94" s="672">
        <v>1</v>
      </c>
      <c r="V94" s="672">
        <v>8</v>
      </c>
      <c r="W94" s="672">
        <v>1</v>
      </c>
      <c r="X94" s="144">
        <f t="shared" si="52"/>
        <v>10</v>
      </c>
      <c r="Y94" s="672">
        <v>0</v>
      </c>
      <c r="Z94" s="672">
        <v>1</v>
      </c>
      <c r="AA94" s="672">
        <v>8</v>
      </c>
      <c r="AB94" s="672">
        <v>1</v>
      </c>
      <c r="AC94" s="144">
        <f t="shared" si="53"/>
        <v>10</v>
      </c>
      <c r="AD94" s="144">
        <f t="shared" si="37"/>
        <v>612624</v>
      </c>
      <c r="AE94" s="144">
        <f t="shared" si="38"/>
        <v>43200</v>
      </c>
      <c r="AF94" s="144">
        <f t="shared" si="39"/>
        <v>60000</v>
      </c>
      <c r="AG94" s="144">
        <f t="shared" si="40"/>
        <v>24000</v>
      </c>
      <c r="AH94" s="144">
        <f t="shared" si="41"/>
        <v>88000</v>
      </c>
      <c r="AI94" s="144">
        <f t="shared" si="42"/>
        <v>8000</v>
      </c>
      <c r="AJ94" s="144">
        <f t="shared" si="43"/>
        <v>10000</v>
      </c>
      <c r="AK94" s="144">
        <f t="shared" si="44"/>
        <v>9600</v>
      </c>
      <c r="AL94" s="144">
        <f t="shared" si="45"/>
        <v>256951.2</v>
      </c>
      <c r="AM94" s="144">
        <f t="shared" si="46"/>
        <v>1112375.2</v>
      </c>
      <c r="AN94" s="675">
        <f t="shared" si="34"/>
        <v>667425</v>
      </c>
      <c r="AO94" s="675"/>
      <c r="AP94" s="675">
        <f t="shared" si="35"/>
        <v>667425</v>
      </c>
      <c r="AQ94" s="675">
        <f t="shared" si="36"/>
        <v>222475</v>
      </c>
    </row>
    <row r="95" spans="1:43" ht="15" customHeight="1">
      <c r="A95" s="141" t="s">
        <v>536</v>
      </c>
      <c r="B95" s="240" t="s">
        <v>920</v>
      </c>
      <c r="C95" s="240" t="s">
        <v>2101</v>
      </c>
      <c r="D95" s="672"/>
      <c r="E95" s="144">
        <v>0</v>
      </c>
      <c r="F95" s="144">
        <v>4.5</v>
      </c>
      <c r="G95" s="144">
        <v>0</v>
      </c>
      <c r="H95" s="144">
        <v>5.5</v>
      </c>
      <c r="I95" s="144">
        <f t="shared" si="48"/>
        <v>10</v>
      </c>
      <c r="J95" s="672">
        <v>0</v>
      </c>
      <c r="K95" s="672">
        <v>1</v>
      </c>
      <c r="L95" s="672">
        <v>0</v>
      </c>
      <c r="M95" s="672">
        <v>0.75</v>
      </c>
      <c r="N95" s="144">
        <f t="shared" si="49"/>
        <v>1.75</v>
      </c>
      <c r="O95" s="144">
        <f t="shared" si="55"/>
        <v>0</v>
      </c>
      <c r="P95" s="144">
        <f t="shared" si="55"/>
        <v>5.5</v>
      </c>
      <c r="Q95" s="144">
        <f t="shared" si="55"/>
        <v>0</v>
      </c>
      <c r="R95" s="144">
        <f t="shared" si="55"/>
        <v>6.25</v>
      </c>
      <c r="S95" s="144">
        <f t="shared" si="51"/>
        <v>11.75</v>
      </c>
      <c r="T95" s="672">
        <v>0</v>
      </c>
      <c r="U95" s="672">
        <v>3</v>
      </c>
      <c r="V95" s="672">
        <v>0</v>
      </c>
      <c r="W95" s="672">
        <v>5.583333333333333</v>
      </c>
      <c r="X95" s="144">
        <f t="shared" si="52"/>
        <v>8.5833333333333321</v>
      </c>
      <c r="Y95" s="672">
        <v>0</v>
      </c>
      <c r="Z95" s="672">
        <v>3</v>
      </c>
      <c r="AA95" s="672">
        <v>0</v>
      </c>
      <c r="AB95" s="672">
        <v>5.583333333333333</v>
      </c>
      <c r="AC95" s="144">
        <f t="shared" si="53"/>
        <v>8.5833333333333321</v>
      </c>
      <c r="AD95" s="144">
        <f t="shared" si="37"/>
        <v>473750</v>
      </c>
      <c r="AE95" s="144">
        <f t="shared" si="38"/>
        <v>37079.999999999993</v>
      </c>
      <c r="AF95" s="144">
        <f t="shared" si="39"/>
        <v>51499.999999999993</v>
      </c>
      <c r="AG95" s="144">
        <f t="shared" si="40"/>
        <v>20599.999999999996</v>
      </c>
      <c r="AH95" s="144">
        <f t="shared" si="41"/>
        <v>75533.333333333328</v>
      </c>
      <c r="AI95" s="144">
        <f t="shared" si="42"/>
        <v>6866.6666666666661</v>
      </c>
      <c r="AJ95" s="144">
        <f t="shared" si="43"/>
        <v>0</v>
      </c>
      <c r="AK95" s="144">
        <f t="shared" si="44"/>
        <v>8239.9999999999982</v>
      </c>
      <c r="AL95" s="144">
        <f t="shared" si="45"/>
        <v>198856.99</v>
      </c>
      <c r="AM95" s="144">
        <f t="shared" si="46"/>
        <v>872426.99</v>
      </c>
      <c r="AN95" s="675">
        <f t="shared" si="34"/>
        <v>523456</v>
      </c>
      <c r="AO95" s="675"/>
      <c r="AP95" s="675">
        <f t="shared" si="35"/>
        <v>523456</v>
      </c>
      <c r="AQ95" s="675">
        <f t="shared" si="36"/>
        <v>174485</v>
      </c>
    </row>
    <row r="96" spans="1:43" ht="15" customHeight="1">
      <c r="A96" s="141" t="s">
        <v>536</v>
      </c>
      <c r="B96" s="240" t="s">
        <v>2151</v>
      </c>
      <c r="C96" s="240" t="s">
        <v>2101</v>
      </c>
      <c r="D96" s="672"/>
      <c r="E96" s="144">
        <v>0</v>
      </c>
      <c r="F96" s="144">
        <v>4</v>
      </c>
      <c r="G96" s="144">
        <v>0</v>
      </c>
      <c r="H96" s="144">
        <v>5</v>
      </c>
      <c r="I96" s="144">
        <f t="shared" si="48"/>
        <v>9</v>
      </c>
      <c r="J96" s="672">
        <v>0</v>
      </c>
      <c r="K96" s="672">
        <v>1</v>
      </c>
      <c r="L96" s="672">
        <v>0</v>
      </c>
      <c r="M96" s="672">
        <v>4</v>
      </c>
      <c r="N96" s="144">
        <f t="shared" si="49"/>
        <v>5</v>
      </c>
      <c r="O96" s="144">
        <f t="shared" si="55"/>
        <v>0</v>
      </c>
      <c r="P96" s="144">
        <f t="shared" si="55"/>
        <v>5</v>
      </c>
      <c r="Q96" s="144">
        <f t="shared" si="55"/>
        <v>0</v>
      </c>
      <c r="R96" s="144">
        <f t="shared" si="55"/>
        <v>9</v>
      </c>
      <c r="S96" s="144">
        <f t="shared" si="51"/>
        <v>14</v>
      </c>
      <c r="T96" s="672">
        <v>0</v>
      </c>
      <c r="U96" s="672">
        <v>5</v>
      </c>
      <c r="V96" s="672">
        <v>0</v>
      </c>
      <c r="W96" s="672">
        <v>9</v>
      </c>
      <c r="X96" s="144">
        <f t="shared" si="52"/>
        <v>14</v>
      </c>
      <c r="Y96" s="672">
        <v>0</v>
      </c>
      <c r="Z96" s="672">
        <v>5</v>
      </c>
      <c r="AA96" s="672">
        <v>0</v>
      </c>
      <c r="AB96" s="672">
        <v>9</v>
      </c>
      <c r="AC96" s="144">
        <f t="shared" si="53"/>
        <v>14</v>
      </c>
      <c r="AD96" s="144">
        <f t="shared" si="37"/>
        <v>774000</v>
      </c>
      <c r="AE96" s="144">
        <f t="shared" si="38"/>
        <v>60480</v>
      </c>
      <c r="AF96" s="144">
        <f t="shared" si="39"/>
        <v>84000</v>
      </c>
      <c r="AG96" s="144">
        <f t="shared" si="40"/>
        <v>33600</v>
      </c>
      <c r="AH96" s="144">
        <f t="shared" si="41"/>
        <v>123200</v>
      </c>
      <c r="AI96" s="144">
        <f t="shared" si="42"/>
        <v>11200</v>
      </c>
      <c r="AJ96" s="144">
        <f t="shared" si="43"/>
        <v>0</v>
      </c>
      <c r="AK96" s="144">
        <f t="shared" si="44"/>
        <v>13440</v>
      </c>
      <c r="AL96" s="144">
        <f t="shared" si="45"/>
        <v>324807.5</v>
      </c>
      <c r="AM96" s="144">
        <f t="shared" si="46"/>
        <v>1424727.5</v>
      </c>
      <c r="AN96" s="675">
        <f t="shared" si="34"/>
        <v>854837</v>
      </c>
      <c r="AO96" s="675"/>
      <c r="AP96" s="675">
        <f t="shared" si="35"/>
        <v>854837</v>
      </c>
      <c r="AQ96" s="675">
        <f t="shared" si="36"/>
        <v>284946</v>
      </c>
    </row>
    <row r="97" spans="1:43" ht="15" customHeight="1">
      <c r="A97" s="141" t="s">
        <v>536</v>
      </c>
      <c r="B97" s="240" t="s">
        <v>2152</v>
      </c>
      <c r="C97" s="240" t="s">
        <v>2101</v>
      </c>
      <c r="D97" s="672"/>
      <c r="E97" s="144">
        <v>0</v>
      </c>
      <c r="F97" s="144">
        <v>3</v>
      </c>
      <c r="G97" s="144">
        <v>0</v>
      </c>
      <c r="H97" s="144">
        <v>3</v>
      </c>
      <c r="I97" s="144">
        <f t="shared" si="48"/>
        <v>6</v>
      </c>
      <c r="J97" s="672">
        <v>0</v>
      </c>
      <c r="K97" s="672">
        <v>0</v>
      </c>
      <c r="L97" s="672">
        <v>0</v>
      </c>
      <c r="M97" s="672">
        <v>1</v>
      </c>
      <c r="N97" s="144">
        <f t="shared" si="49"/>
        <v>1</v>
      </c>
      <c r="O97" s="144">
        <f t="shared" si="55"/>
        <v>0</v>
      </c>
      <c r="P97" s="144">
        <f t="shared" si="55"/>
        <v>3</v>
      </c>
      <c r="Q97" s="144">
        <f t="shared" si="55"/>
        <v>0</v>
      </c>
      <c r="R97" s="144">
        <f t="shared" si="55"/>
        <v>4</v>
      </c>
      <c r="S97" s="144">
        <f t="shared" si="51"/>
        <v>7</v>
      </c>
      <c r="T97" s="672">
        <v>0</v>
      </c>
      <c r="U97" s="672">
        <v>2</v>
      </c>
      <c r="V97" s="672">
        <v>0</v>
      </c>
      <c r="W97" s="672">
        <v>5</v>
      </c>
      <c r="X97" s="144">
        <f t="shared" si="52"/>
        <v>7</v>
      </c>
      <c r="Y97" s="672">
        <v>0</v>
      </c>
      <c r="Z97" s="672">
        <v>2</v>
      </c>
      <c r="AA97" s="672">
        <v>0</v>
      </c>
      <c r="AB97" s="672">
        <v>5</v>
      </c>
      <c r="AC97" s="144">
        <f t="shared" si="53"/>
        <v>7</v>
      </c>
      <c r="AD97" s="144">
        <f t="shared" si="37"/>
        <v>381000</v>
      </c>
      <c r="AE97" s="144">
        <f t="shared" si="38"/>
        <v>30240</v>
      </c>
      <c r="AF97" s="144">
        <f t="shared" si="39"/>
        <v>42000</v>
      </c>
      <c r="AG97" s="144">
        <f t="shared" si="40"/>
        <v>16800</v>
      </c>
      <c r="AH97" s="144">
        <f t="shared" si="41"/>
        <v>61600</v>
      </c>
      <c r="AI97" s="144">
        <f t="shared" si="42"/>
        <v>5600</v>
      </c>
      <c r="AJ97" s="144">
        <f t="shared" si="43"/>
        <v>0</v>
      </c>
      <c r="AK97" s="144">
        <f t="shared" si="44"/>
        <v>6720</v>
      </c>
      <c r="AL97" s="144">
        <f t="shared" si="45"/>
        <v>160258.39000000001</v>
      </c>
      <c r="AM97" s="144">
        <f t="shared" si="46"/>
        <v>704218.39</v>
      </c>
      <c r="AN97" s="675">
        <f t="shared" si="34"/>
        <v>422531</v>
      </c>
      <c r="AO97" s="675"/>
      <c r="AP97" s="675">
        <f t="shared" si="35"/>
        <v>422531</v>
      </c>
      <c r="AQ97" s="675">
        <f t="shared" si="36"/>
        <v>140844</v>
      </c>
    </row>
    <row r="98" spans="1:43" ht="15" customHeight="1">
      <c r="A98" s="676"/>
      <c r="B98" s="676" t="s">
        <v>613</v>
      </c>
      <c r="C98" s="676"/>
      <c r="D98" s="146">
        <f t="shared" ref="D98:AQ98" si="56">SUM(D92:D97)</f>
        <v>4</v>
      </c>
      <c r="E98" s="146">
        <f t="shared" si="56"/>
        <v>8</v>
      </c>
      <c r="F98" s="146">
        <f t="shared" si="56"/>
        <v>17.5</v>
      </c>
      <c r="G98" s="146">
        <f t="shared" si="56"/>
        <v>63</v>
      </c>
      <c r="H98" s="146">
        <f t="shared" si="56"/>
        <v>22.5</v>
      </c>
      <c r="I98" s="146">
        <f t="shared" si="56"/>
        <v>111</v>
      </c>
      <c r="J98" s="146">
        <f t="shared" si="56"/>
        <v>2.6666666666666665</v>
      </c>
      <c r="K98" s="146">
        <f t="shared" si="56"/>
        <v>2.416666666666667</v>
      </c>
      <c r="L98" s="146">
        <f t="shared" si="56"/>
        <v>3.75</v>
      </c>
      <c r="M98" s="146">
        <f t="shared" si="56"/>
        <v>5.75</v>
      </c>
      <c r="N98" s="146">
        <f t="shared" si="56"/>
        <v>14.583333333333332</v>
      </c>
      <c r="O98" s="146">
        <f t="shared" si="56"/>
        <v>10.666666666666666</v>
      </c>
      <c r="P98" s="146">
        <f t="shared" si="56"/>
        <v>19.916666666666664</v>
      </c>
      <c r="Q98" s="146">
        <f t="shared" si="56"/>
        <v>66.75</v>
      </c>
      <c r="R98" s="146">
        <f t="shared" si="56"/>
        <v>28.25</v>
      </c>
      <c r="S98" s="146">
        <f t="shared" si="56"/>
        <v>125.58333333333334</v>
      </c>
      <c r="T98" s="146">
        <f t="shared" si="56"/>
        <v>11.5</v>
      </c>
      <c r="U98" s="146">
        <f t="shared" si="56"/>
        <v>15.5</v>
      </c>
      <c r="V98" s="146">
        <f t="shared" si="56"/>
        <v>59.416666666666671</v>
      </c>
      <c r="W98" s="146">
        <f t="shared" si="56"/>
        <v>28.833333333333332</v>
      </c>
      <c r="X98" s="146">
        <f t="shared" si="56"/>
        <v>115.24999999999999</v>
      </c>
      <c r="Y98" s="146">
        <f t="shared" si="56"/>
        <v>11.5</v>
      </c>
      <c r="Z98" s="146">
        <f t="shared" si="56"/>
        <v>15.5</v>
      </c>
      <c r="AA98" s="146">
        <f t="shared" si="56"/>
        <v>59.416666666666671</v>
      </c>
      <c r="AB98" s="146">
        <f t="shared" si="56"/>
        <v>28.833333333333332</v>
      </c>
      <c r="AC98" s="146">
        <f t="shared" si="56"/>
        <v>115.24999999999999</v>
      </c>
      <c r="AD98" s="146">
        <f t="shared" si="56"/>
        <v>6980668</v>
      </c>
      <c r="AE98" s="146">
        <f t="shared" si="56"/>
        <v>497880</v>
      </c>
      <c r="AF98" s="146">
        <f t="shared" si="56"/>
        <v>691500</v>
      </c>
      <c r="AG98" s="146">
        <f t="shared" si="56"/>
        <v>276600</v>
      </c>
      <c r="AH98" s="146">
        <f t="shared" si="56"/>
        <v>1014200</v>
      </c>
      <c r="AI98" s="146">
        <f t="shared" si="56"/>
        <v>92200</v>
      </c>
      <c r="AJ98" s="146">
        <f t="shared" si="56"/>
        <v>40000</v>
      </c>
      <c r="AK98" s="146">
        <f t="shared" si="56"/>
        <v>110640</v>
      </c>
      <c r="AL98" s="146">
        <f t="shared" si="56"/>
        <v>2905914.43</v>
      </c>
      <c r="AM98" s="146">
        <f t="shared" si="56"/>
        <v>12609602.43</v>
      </c>
      <c r="AN98" s="146">
        <f t="shared" si="56"/>
        <v>7565762</v>
      </c>
      <c r="AO98" s="146">
        <f t="shared" si="56"/>
        <v>0</v>
      </c>
      <c r="AP98" s="146">
        <f t="shared" si="56"/>
        <v>7565762</v>
      </c>
      <c r="AQ98" s="146">
        <f t="shared" si="56"/>
        <v>2521921</v>
      </c>
    </row>
    <row r="99" spans="1:43" ht="15" customHeight="1">
      <c r="A99" s="141" t="s">
        <v>535</v>
      </c>
      <c r="B99" s="679" t="s">
        <v>2153</v>
      </c>
      <c r="C99" s="240" t="s">
        <v>2099</v>
      </c>
      <c r="D99" s="672">
        <v>1</v>
      </c>
      <c r="E99" s="165">
        <v>3</v>
      </c>
      <c r="F99" s="165">
        <v>3</v>
      </c>
      <c r="G99" s="165">
        <v>27</v>
      </c>
      <c r="H99" s="165">
        <v>3</v>
      </c>
      <c r="I99" s="144">
        <f t="shared" si="48"/>
        <v>36</v>
      </c>
      <c r="J99" s="672">
        <v>1</v>
      </c>
      <c r="K99" s="672">
        <v>0</v>
      </c>
      <c r="L99" s="672">
        <v>0</v>
      </c>
      <c r="M99" s="672">
        <v>1</v>
      </c>
      <c r="N99" s="144">
        <f t="shared" si="49"/>
        <v>2</v>
      </c>
      <c r="O99" s="144">
        <f>E99+J99</f>
        <v>4</v>
      </c>
      <c r="P99" s="144">
        <f t="shared" ref="P99:R102" si="57">F99+K99</f>
        <v>3</v>
      </c>
      <c r="Q99" s="144">
        <f t="shared" si="57"/>
        <v>27</v>
      </c>
      <c r="R99" s="144">
        <f t="shared" si="57"/>
        <v>4</v>
      </c>
      <c r="S99" s="144">
        <f t="shared" si="51"/>
        <v>38</v>
      </c>
      <c r="T99" s="672">
        <v>4.5</v>
      </c>
      <c r="U99" s="672">
        <v>3</v>
      </c>
      <c r="V99" s="672">
        <v>27.666666666666668</v>
      </c>
      <c r="W99" s="672">
        <v>2.8333333333333335</v>
      </c>
      <c r="X99" s="144">
        <f t="shared" si="52"/>
        <v>38.000000000000007</v>
      </c>
      <c r="Y99" s="672">
        <v>4.5</v>
      </c>
      <c r="Z99" s="672">
        <v>3</v>
      </c>
      <c r="AA99" s="672">
        <v>27.666666666666668</v>
      </c>
      <c r="AB99" s="672">
        <v>2.8333333333333335</v>
      </c>
      <c r="AC99" s="144">
        <f t="shared" si="53"/>
        <v>38.000000000000007</v>
      </c>
      <c r="AD99" s="144">
        <f t="shared" si="37"/>
        <v>2382826</v>
      </c>
      <c r="AE99" s="144">
        <f t="shared" si="38"/>
        <v>164160.00000000003</v>
      </c>
      <c r="AF99" s="144">
        <f t="shared" si="39"/>
        <v>228000.00000000003</v>
      </c>
      <c r="AG99" s="144">
        <f t="shared" si="40"/>
        <v>91200.000000000015</v>
      </c>
      <c r="AH99" s="144">
        <f t="shared" si="41"/>
        <v>334400.00000000006</v>
      </c>
      <c r="AI99" s="144">
        <f t="shared" si="42"/>
        <v>30400.000000000007</v>
      </c>
      <c r="AJ99" s="144">
        <f t="shared" si="43"/>
        <v>10000</v>
      </c>
      <c r="AK99" s="144">
        <f t="shared" si="44"/>
        <v>36480.000000000007</v>
      </c>
      <c r="AL99" s="144">
        <f t="shared" si="45"/>
        <v>986016.75</v>
      </c>
      <c r="AM99" s="144">
        <f t="shared" si="46"/>
        <v>4263482.75</v>
      </c>
      <c r="AN99" s="675">
        <f t="shared" si="34"/>
        <v>2558090</v>
      </c>
      <c r="AO99" s="675"/>
      <c r="AP99" s="675">
        <f t="shared" si="35"/>
        <v>2558090</v>
      </c>
      <c r="AQ99" s="675">
        <f t="shared" si="36"/>
        <v>852697</v>
      </c>
    </row>
    <row r="100" spans="1:43" ht="15" customHeight="1">
      <c r="A100" s="141" t="s">
        <v>535</v>
      </c>
      <c r="B100" s="679" t="s">
        <v>462</v>
      </c>
      <c r="C100" s="240" t="s">
        <v>2099</v>
      </c>
      <c r="D100" s="672">
        <v>3</v>
      </c>
      <c r="E100" s="165">
        <v>4</v>
      </c>
      <c r="F100" s="165">
        <v>3</v>
      </c>
      <c r="G100" s="165">
        <v>34</v>
      </c>
      <c r="H100" s="165">
        <v>4</v>
      </c>
      <c r="I100" s="144">
        <f t="shared" si="48"/>
        <v>45</v>
      </c>
      <c r="J100" s="672">
        <v>0.25</v>
      </c>
      <c r="K100" s="672">
        <v>0</v>
      </c>
      <c r="L100" s="672">
        <v>1.9166666666666667</v>
      </c>
      <c r="M100" s="672">
        <v>0</v>
      </c>
      <c r="N100" s="144">
        <f t="shared" si="49"/>
        <v>2.166666666666667</v>
      </c>
      <c r="O100" s="144">
        <f>E100+J100</f>
        <v>4.25</v>
      </c>
      <c r="P100" s="144">
        <f t="shared" si="57"/>
        <v>3</v>
      </c>
      <c r="Q100" s="144">
        <f t="shared" si="57"/>
        <v>35.916666666666664</v>
      </c>
      <c r="R100" s="144">
        <f t="shared" si="57"/>
        <v>4</v>
      </c>
      <c r="S100" s="144">
        <f t="shared" si="51"/>
        <v>47.166666666666664</v>
      </c>
      <c r="T100" s="672">
        <v>0</v>
      </c>
      <c r="U100" s="672">
        <v>3.6666666666666665</v>
      </c>
      <c r="V100" s="672">
        <v>34.333333333333336</v>
      </c>
      <c r="W100" s="672">
        <v>3.8333333333333335</v>
      </c>
      <c r="X100" s="144">
        <f t="shared" si="52"/>
        <v>41.833333333333336</v>
      </c>
      <c r="Y100" s="144">
        <v>0</v>
      </c>
      <c r="Z100" s="144">
        <v>3.6666666666666665</v>
      </c>
      <c r="AA100" s="144">
        <v>34.333333333333336</v>
      </c>
      <c r="AB100" s="144">
        <v>3.8333333333333335</v>
      </c>
      <c r="AC100" s="144">
        <f t="shared" si="53"/>
        <v>41.833333333333336</v>
      </c>
      <c r="AD100" s="144">
        <f t="shared" si="37"/>
        <v>2566428</v>
      </c>
      <c r="AE100" s="144">
        <f t="shared" si="38"/>
        <v>180720</v>
      </c>
      <c r="AF100" s="144">
        <f t="shared" si="39"/>
        <v>251000</v>
      </c>
      <c r="AG100" s="144">
        <f t="shared" si="40"/>
        <v>100400</v>
      </c>
      <c r="AH100" s="144">
        <f t="shared" si="41"/>
        <v>368133.33333333337</v>
      </c>
      <c r="AI100" s="144">
        <f t="shared" si="42"/>
        <v>33466.666666666672</v>
      </c>
      <c r="AJ100" s="144">
        <f t="shared" si="43"/>
        <v>30000</v>
      </c>
      <c r="AK100" s="144">
        <f t="shared" si="44"/>
        <v>40160</v>
      </c>
      <c r="AL100" s="144">
        <f t="shared" si="45"/>
        <v>1071974.8899999999</v>
      </c>
      <c r="AM100" s="144">
        <f t="shared" si="46"/>
        <v>4642282.8899999997</v>
      </c>
      <c r="AN100" s="675">
        <f t="shared" si="34"/>
        <v>2785370</v>
      </c>
      <c r="AO100" s="675"/>
      <c r="AP100" s="675">
        <f t="shared" si="35"/>
        <v>2785370</v>
      </c>
      <c r="AQ100" s="675">
        <f t="shared" si="36"/>
        <v>928457</v>
      </c>
    </row>
    <row r="101" spans="1:43" ht="15" customHeight="1">
      <c r="A101" s="141" t="s">
        <v>535</v>
      </c>
      <c r="B101" s="240" t="s">
        <v>918</v>
      </c>
      <c r="C101" s="240" t="s">
        <v>2101</v>
      </c>
      <c r="D101" s="672"/>
      <c r="E101" s="165">
        <v>0</v>
      </c>
      <c r="F101" s="165">
        <v>6</v>
      </c>
      <c r="G101" s="165">
        <v>0</v>
      </c>
      <c r="H101" s="165">
        <v>7</v>
      </c>
      <c r="I101" s="144">
        <f t="shared" si="48"/>
        <v>13</v>
      </c>
      <c r="J101" s="672">
        <v>0</v>
      </c>
      <c r="K101" s="672">
        <v>0</v>
      </c>
      <c r="L101" s="672">
        <v>0</v>
      </c>
      <c r="M101" s="672">
        <v>0</v>
      </c>
      <c r="N101" s="144">
        <f t="shared" si="49"/>
        <v>0</v>
      </c>
      <c r="O101" s="144">
        <f>E101+J101</f>
        <v>0</v>
      </c>
      <c r="P101" s="144">
        <f t="shared" si="57"/>
        <v>6</v>
      </c>
      <c r="Q101" s="144">
        <f t="shared" si="57"/>
        <v>0</v>
      </c>
      <c r="R101" s="144">
        <f t="shared" si="57"/>
        <v>7</v>
      </c>
      <c r="S101" s="144">
        <f t="shared" si="51"/>
        <v>13</v>
      </c>
      <c r="T101" s="672">
        <v>0</v>
      </c>
      <c r="U101" s="672">
        <v>5</v>
      </c>
      <c r="V101" s="672">
        <v>0</v>
      </c>
      <c r="W101" s="672">
        <v>0</v>
      </c>
      <c r="X101" s="144">
        <f t="shared" si="52"/>
        <v>5</v>
      </c>
      <c r="Y101" s="672">
        <v>0</v>
      </c>
      <c r="Z101" s="672">
        <v>5</v>
      </c>
      <c r="AA101" s="672">
        <v>0</v>
      </c>
      <c r="AB101" s="672">
        <v>0</v>
      </c>
      <c r="AC101" s="144">
        <f t="shared" si="53"/>
        <v>5</v>
      </c>
      <c r="AD101" s="144">
        <f t="shared" si="37"/>
        <v>315000</v>
      </c>
      <c r="AE101" s="144">
        <f t="shared" si="38"/>
        <v>21600</v>
      </c>
      <c r="AF101" s="144">
        <f t="shared" si="39"/>
        <v>30000</v>
      </c>
      <c r="AG101" s="144">
        <f t="shared" si="40"/>
        <v>12000</v>
      </c>
      <c r="AH101" s="144">
        <f t="shared" si="41"/>
        <v>44000</v>
      </c>
      <c r="AI101" s="144">
        <f t="shared" si="42"/>
        <v>4000</v>
      </c>
      <c r="AJ101" s="144">
        <f t="shared" si="43"/>
        <v>0</v>
      </c>
      <c r="AK101" s="144">
        <f t="shared" si="44"/>
        <v>4800</v>
      </c>
      <c r="AL101" s="144">
        <f t="shared" si="45"/>
        <v>129794.28</v>
      </c>
      <c r="AM101" s="144">
        <f t="shared" si="46"/>
        <v>561194.28</v>
      </c>
      <c r="AN101" s="675">
        <f t="shared" si="34"/>
        <v>336717</v>
      </c>
      <c r="AO101" s="675"/>
      <c r="AP101" s="675">
        <f t="shared" si="35"/>
        <v>336717</v>
      </c>
      <c r="AQ101" s="675">
        <f t="shared" si="36"/>
        <v>112239</v>
      </c>
    </row>
    <row r="102" spans="1:43" ht="15" customHeight="1">
      <c r="A102" s="141" t="s">
        <v>535</v>
      </c>
      <c r="B102" s="240" t="s">
        <v>327</v>
      </c>
      <c r="C102" s="240" t="s">
        <v>2099</v>
      </c>
      <c r="D102" s="672">
        <v>1</v>
      </c>
      <c r="E102" s="165">
        <v>2</v>
      </c>
      <c r="F102" s="165">
        <v>2</v>
      </c>
      <c r="G102" s="165">
        <v>17</v>
      </c>
      <c r="H102" s="165">
        <v>3</v>
      </c>
      <c r="I102" s="144">
        <f t="shared" si="48"/>
        <v>24</v>
      </c>
      <c r="J102" s="672">
        <v>0.25</v>
      </c>
      <c r="K102" s="672">
        <v>0</v>
      </c>
      <c r="L102" s="672">
        <v>9.6666666666666661</v>
      </c>
      <c r="M102" s="672">
        <v>2.4166666666666665</v>
      </c>
      <c r="N102" s="144">
        <f t="shared" si="49"/>
        <v>12.333333333333332</v>
      </c>
      <c r="O102" s="144">
        <f>E102+J102</f>
        <v>2.25</v>
      </c>
      <c r="P102" s="144">
        <f t="shared" si="57"/>
        <v>2</v>
      </c>
      <c r="Q102" s="144">
        <f t="shared" si="57"/>
        <v>26.666666666666664</v>
      </c>
      <c r="R102" s="144">
        <f t="shared" si="57"/>
        <v>5.4166666666666661</v>
      </c>
      <c r="S102" s="144">
        <f t="shared" si="51"/>
        <v>36.333333333333329</v>
      </c>
      <c r="T102" s="672">
        <v>0</v>
      </c>
      <c r="U102" s="672">
        <v>3.1666666666666665</v>
      </c>
      <c r="V102" s="672">
        <v>9.1666666666666661</v>
      </c>
      <c r="W102" s="672">
        <v>5.416666666666667</v>
      </c>
      <c r="X102" s="144">
        <f t="shared" si="52"/>
        <v>17.75</v>
      </c>
      <c r="Y102" s="672">
        <v>0</v>
      </c>
      <c r="Z102" s="672">
        <v>3.1666666666666665</v>
      </c>
      <c r="AA102" s="672">
        <v>9.1666666666666661</v>
      </c>
      <c r="AB102" s="672">
        <v>5.416666666666667</v>
      </c>
      <c r="AC102" s="144">
        <f t="shared" si="53"/>
        <v>17.75</v>
      </c>
      <c r="AD102" s="144">
        <f t="shared" si="37"/>
        <v>1047090</v>
      </c>
      <c r="AE102" s="144">
        <f t="shared" si="38"/>
        <v>76680</v>
      </c>
      <c r="AF102" s="144">
        <f t="shared" si="39"/>
        <v>106500</v>
      </c>
      <c r="AG102" s="144">
        <f t="shared" si="40"/>
        <v>42600</v>
      </c>
      <c r="AH102" s="144">
        <f t="shared" si="41"/>
        <v>156200</v>
      </c>
      <c r="AI102" s="144">
        <f t="shared" si="42"/>
        <v>14200</v>
      </c>
      <c r="AJ102" s="144">
        <f t="shared" si="43"/>
        <v>10000</v>
      </c>
      <c r="AK102" s="144">
        <f t="shared" si="44"/>
        <v>17040</v>
      </c>
      <c r="AL102" s="144">
        <f t="shared" si="45"/>
        <v>438901.32</v>
      </c>
      <c r="AM102" s="144">
        <f t="shared" si="46"/>
        <v>1909211.32</v>
      </c>
      <c r="AN102" s="675">
        <f t="shared" si="34"/>
        <v>1145527</v>
      </c>
      <c r="AO102" s="675"/>
      <c r="AP102" s="675">
        <f t="shared" si="35"/>
        <v>1145527</v>
      </c>
      <c r="AQ102" s="675">
        <f t="shared" si="36"/>
        <v>381842</v>
      </c>
    </row>
    <row r="103" spans="1:43" ht="15" customHeight="1">
      <c r="A103" s="676"/>
      <c r="B103" s="676" t="s">
        <v>2154</v>
      </c>
      <c r="C103" s="676"/>
      <c r="D103" s="146">
        <f>SUM(D99:D102)</f>
        <v>5</v>
      </c>
      <c r="E103" s="146">
        <f t="shared" ref="E103:AQ103" si="58">SUM(E99:E102)</f>
        <v>9</v>
      </c>
      <c r="F103" s="146">
        <f t="shared" si="58"/>
        <v>14</v>
      </c>
      <c r="G103" s="146">
        <f t="shared" si="58"/>
        <v>78</v>
      </c>
      <c r="H103" s="146">
        <f t="shared" si="58"/>
        <v>17</v>
      </c>
      <c r="I103" s="146">
        <f t="shared" si="58"/>
        <v>118</v>
      </c>
      <c r="J103" s="146">
        <f t="shared" si="58"/>
        <v>1.5</v>
      </c>
      <c r="K103" s="146">
        <f t="shared" si="58"/>
        <v>0</v>
      </c>
      <c r="L103" s="146">
        <f t="shared" si="58"/>
        <v>11.583333333333332</v>
      </c>
      <c r="M103" s="146">
        <f t="shared" si="58"/>
        <v>3.4166666666666665</v>
      </c>
      <c r="N103" s="146">
        <f t="shared" si="58"/>
        <v>16.5</v>
      </c>
      <c r="O103" s="146">
        <f t="shared" si="58"/>
        <v>10.5</v>
      </c>
      <c r="P103" s="146">
        <f t="shared" si="58"/>
        <v>14</v>
      </c>
      <c r="Q103" s="146">
        <f t="shared" si="58"/>
        <v>89.583333333333329</v>
      </c>
      <c r="R103" s="146">
        <f t="shared" si="58"/>
        <v>20.416666666666664</v>
      </c>
      <c r="S103" s="146">
        <f t="shared" si="58"/>
        <v>134.5</v>
      </c>
      <c r="T103" s="146">
        <f t="shared" si="58"/>
        <v>4.5</v>
      </c>
      <c r="U103" s="146">
        <f t="shared" si="58"/>
        <v>14.833333333333332</v>
      </c>
      <c r="V103" s="146">
        <f t="shared" si="58"/>
        <v>71.166666666666671</v>
      </c>
      <c r="W103" s="146">
        <f t="shared" si="58"/>
        <v>12.083333333333334</v>
      </c>
      <c r="X103" s="146">
        <f t="shared" si="58"/>
        <v>102.58333333333334</v>
      </c>
      <c r="Y103" s="146">
        <f t="shared" si="58"/>
        <v>4.5</v>
      </c>
      <c r="Z103" s="146">
        <f t="shared" si="58"/>
        <v>14.833333333333332</v>
      </c>
      <c r="AA103" s="146">
        <f t="shared" si="58"/>
        <v>71.166666666666671</v>
      </c>
      <c r="AB103" s="146">
        <f t="shared" si="58"/>
        <v>12.083333333333334</v>
      </c>
      <c r="AC103" s="146">
        <f t="shared" si="58"/>
        <v>102.58333333333334</v>
      </c>
      <c r="AD103" s="146">
        <f t="shared" si="58"/>
        <v>6311344</v>
      </c>
      <c r="AE103" s="146">
        <f t="shared" si="58"/>
        <v>443160</v>
      </c>
      <c r="AF103" s="146">
        <f t="shared" si="58"/>
        <v>615500</v>
      </c>
      <c r="AG103" s="146">
        <f t="shared" si="58"/>
        <v>246200</v>
      </c>
      <c r="AH103" s="146">
        <f t="shared" si="58"/>
        <v>902733.33333333349</v>
      </c>
      <c r="AI103" s="146">
        <f t="shared" si="58"/>
        <v>82066.666666666686</v>
      </c>
      <c r="AJ103" s="146">
        <f t="shared" si="58"/>
        <v>50000</v>
      </c>
      <c r="AK103" s="146">
        <f t="shared" si="58"/>
        <v>98480</v>
      </c>
      <c r="AL103" s="146">
        <f t="shared" si="58"/>
        <v>2626687.2399999998</v>
      </c>
      <c r="AM103" s="146">
        <f t="shared" si="58"/>
        <v>11376171.24</v>
      </c>
      <c r="AN103" s="146">
        <f t="shared" si="58"/>
        <v>6825704</v>
      </c>
      <c r="AO103" s="146">
        <f t="shared" si="58"/>
        <v>0</v>
      </c>
      <c r="AP103" s="146">
        <f t="shared" si="58"/>
        <v>6825704</v>
      </c>
      <c r="AQ103" s="146">
        <f t="shared" si="58"/>
        <v>2275235</v>
      </c>
    </row>
    <row r="104" spans="1:43" ht="15" customHeight="1">
      <c r="A104" s="141" t="s">
        <v>542</v>
      </c>
      <c r="B104" s="240" t="s">
        <v>482</v>
      </c>
      <c r="C104" s="240" t="s">
        <v>2099</v>
      </c>
      <c r="D104" s="672">
        <v>2</v>
      </c>
      <c r="E104" s="165">
        <v>3</v>
      </c>
      <c r="F104" s="165">
        <v>3</v>
      </c>
      <c r="G104" s="165">
        <v>27</v>
      </c>
      <c r="H104" s="165">
        <v>3</v>
      </c>
      <c r="I104" s="144">
        <f t="shared" si="48"/>
        <v>36</v>
      </c>
      <c r="J104" s="672">
        <v>2</v>
      </c>
      <c r="K104" s="672">
        <v>0</v>
      </c>
      <c r="L104" s="672">
        <v>0</v>
      </c>
      <c r="M104" s="672">
        <v>0</v>
      </c>
      <c r="N104" s="144">
        <f t="shared" si="49"/>
        <v>2</v>
      </c>
      <c r="O104" s="144">
        <f>E104+J104</f>
        <v>5</v>
      </c>
      <c r="P104" s="144">
        <f t="shared" ref="P104:R117" si="59">F104+K104</f>
        <v>3</v>
      </c>
      <c r="Q104" s="144">
        <f t="shared" si="59"/>
        <v>27</v>
      </c>
      <c r="R104" s="144">
        <f t="shared" si="59"/>
        <v>3</v>
      </c>
      <c r="S104" s="144">
        <f t="shared" si="51"/>
        <v>38</v>
      </c>
      <c r="T104" s="680">
        <v>6</v>
      </c>
      <c r="U104" s="680">
        <v>3</v>
      </c>
      <c r="V104" s="680">
        <v>25.583333333333332</v>
      </c>
      <c r="W104" s="680">
        <v>2.6666666666666665</v>
      </c>
      <c r="X104" s="144">
        <f t="shared" si="52"/>
        <v>37.249999999999993</v>
      </c>
      <c r="Y104" s="672">
        <v>6</v>
      </c>
      <c r="Z104" s="672">
        <v>3</v>
      </c>
      <c r="AA104" s="672">
        <v>25.583333333333332</v>
      </c>
      <c r="AB104" s="672">
        <v>2.6666666666666665</v>
      </c>
      <c r="AC104" s="144">
        <f t="shared" si="53"/>
        <v>37.249999999999993</v>
      </c>
      <c r="AD104" s="144">
        <f t="shared" si="37"/>
        <v>2352782</v>
      </c>
      <c r="AE104" s="144">
        <f t="shared" si="38"/>
        <v>160919.99999999997</v>
      </c>
      <c r="AF104" s="144">
        <f t="shared" si="39"/>
        <v>223499.99999999997</v>
      </c>
      <c r="AG104" s="144">
        <f t="shared" si="40"/>
        <v>89399.999999999985</v>
      </c>
      <c r="AH104" s="144">
        <f t="shared" si="41"/>
        <v>327799.99999999994</v>
      </c>
      <c r="AI104" s="144">
        <f t="shared" si="42"/>
        <v>29799.999999999993</v>
      </c>
      <c r="AJ104" s="144">
        <f t="shared" si="43"/>
        <v>20000</v>
      </c>
      <c r="AK104" s="144">
        <f t="shared" si="44"/>
        <v>35759.999999999993</v>
      </c>
      <c r="AL104" s="144">
        <f t="shared" si="45"/>
        <v>976275.39</v>
      </c>
      <c r="AM104" s="144">
        <f t="shared" si="46"/>
        <v>4216237.3899999997</v>
      </c>
      <c r="AN104" s="675">
        <f t="shared" si="34"/>
        <v>2529742</v>
      </c>
      <c r="AO104" s="675"/>
      <c r="AP104" s="675">
        <f t="shared" si="35"/>
        <v>2529742</v>
      </c>
      <c r="AQ104" s="675">
        <f t="shared" si="36"/>
        <v>843247</v>
      </c>
    </row>
    <row r="105" spans="1:43" ht="15" customHeight="1">
      <c r="A105" s="141" t="s">
        <v>542</v>
      </c>
      <c r="B105" s="240" t="s">
        <v>2155</v>
      </c>
      <c r="C105" s="240" t="s">
        <v>2099</v>
      </c>
      <c r="D105" s="672">
        <v>2</v>
      </c>
      <c r="E105" s="165">
        <v>4</v>
      </c>
      <c r="F105" s="165">
        <v>3</v>
      </c>
      <c r="G105" s="165">
        <v>28</v>
      </c>
      <c r="H105" s="165">
        <v>3</v>
      </c>
      <c r="I105" s="144">
        <f t="shared" si="48"/>
        <v>38</v>
      </c>
      <c r="J105" s="672">
        <v>12</v>
      </c>
      <c r="K105" s="672">
        <v>0</v>
      </c>
      <c r="L105" s="672">
        <v>0</v>
      </c>
      <c r="M105" s="672">
        <v>0</v>
      </c>
      <c r="N105" s="144">
        <f t="shared" si="49"/>
        <v>12</v>
      </c>
      <c r="O105" s="144">
        <f t="shared" ref="O105:O117" si="60">E105+J105</f>
        <v>16</v>
      </c>
      <c r="P105" s="144">
        <f t="shared" si="59"/>
        <v>3</v>
      </c>
      <c r="Q105" s="144">
        <f t="shared" si="59"/>
        <v>28</v>
      </c>
      <c r="R105" s="144">
        <f t="shared" si="59"/>
        <v>3</v>
      </c>
      <c r="S105" s="144">
        <f t="shared" si="51"/>
        <v>50</v>
      </c>
      <c r="T105" s="672">
        <v>11.333333333333334</v>
      </c>
      <c r="U105" s="672">
        <v>3</v>
      </c>
      <c r="V105" s="672">
        <v>27</v>
      </c>
      <c r="W105" s="672">
        <v>3</v>
      </c>
      <c r="X105" s="144">
        <f t="shared" si="52"/>
        <v>44.333333333333336</v>
      </c>
      <c r="Y105" s="144">
        <v>11.333333333333334</v>
      </c>
      <c r="Z105" s="144">
        <v>3</v>
      </c>
      <c r="AA105" s="144">
        <v>27</v>
      </c>
      <c r="AB105" s="144">
        <v>3</v>
      </c>
      <c r="AC105" s="144">
        <f t="shared" si="53"/>
        <v>44.333333333333336</v>
      </c>
      <c r="AD105" s="144">
        <f t="shared" si="37"/>
        <v>2843168</v>
      </c>
      <c r="AE105" s="144">
        <f t="shared" si="38"/>
        <v>191520</v>
      </c>
      <c r="AF105" s="144">
        <f t="shared" si="39"/>
        <v>266000</v>
      </c>
      <c r="AG105" s="144">
        <f t="shared" si="40"/>
        <v>106400</v>
      </c>
      <c r="AH105" s="144">
        <f t="shared" si="41"/>
        <v>390133.33333333337</v>
      </c>
      <c r="AI105" s="144">
        <f t="shared" si="42"/>
        <v>35466.666666666672</v>
      </c>
      <c r="AJ105" s="144">
        <f t="shared" si="43"/>
        <v>20000</v>
      </c>
      <c r="AK105" s="144">
        <f t="shared" si="44"/>
        <v>42560</v>
      </c>
      <c r="AL105" s="144">
        <f t="shared" si="45"/>
        <v>1175931.8899999999</v>
      </c>
      <c r="AM105" s="144">
        <f t="shared" si="46"/>
        <v>5071179.8899999997</v>
      </c>
      <c r="AN105" s="675">
        <f t="shared" si="34"/>
        <v>3042708</v>
      </c>
      <c r="AO105" s="675"/>
      <c r="AP105" s="675">
        <f t="shared" si="35"/>
        <v>3042708</v>
      </c>
      <c r="AQ105" s="675">
        <f t="shared" si="36"/>
        <v>1014236</v>
      </c>
    </row>
    <row r="106" spans="1:43" ht="15" customHeight="1">
      <c r="A106" s="141" t="s">
        <v>542</v>
      </c>
      <c r="B106" s="240" t="s">
        <v>2156</v>
      </c>
      <c r="C106" s="240" t="s">
        <v>2099</v>
      </c>
      <c r="D106" s="672">
        <v>2</v>
      </c>
      <c r="E106" s="165">
        <v>5</v>
      </c>
      <c r="F106" s="165">
        <v>3</v>
      </c>
      <c r="G106" s="165">
        <v>37</v>
      </c>
      <c r="H106" s="165">
        <v>4</v>
      </c>
      <c r="I106" s="144">
        <f t="shared" si="48"/>
        <v>49</v>
      </c>
      <c r="J106" s="672">
        <v>5</v>
      </c>
      <c r="K106" s="672">
        <v>1</v>
      </c>
      <c r="L106" s="672">
        <v>0.91666666666666663</v>
      </c>
      <c r="M106" s="672">
        <v>2.9166666666666665</v>
      </c>
      <c r="N106" s="144">
        <f t="shared" si="49"/>
        <v>9.8333333333333339</v>
      </c>
      <c r="O106" s="144">
        <f t="shared" si="60"/>
        <v>10</v>
      </c>
      <c r="P106" s="144">
        <f t="shared" si="59"/>
        <v>4</v>
      </c>
      <c r="Q106" s="144">
        <f t="shared" si="59"/>
        <v>37.916666666666664</v>
      </c>
      <c r="R106" s="144">
        <f t="shared" si="59"/>
        <v>6.9166666666666661</v>
      </c>
      <c r="S106" s="144">
        <f t="shared" si="51"/>
        <v>58.833333333333329</v>
      </c>
      <c r="T106" s="672">
        <v>9.6666666666666661</v>
      </c>
      <c r="U106" s="672">
        <v>5.5</v>
      </c>
      <c r="V106" s="672">
        <v>36.5</v>
      </c>
      <c r="W106" s="672">
        <v>4.833333333333333</v>
      </c>
      <c r="X106" s="144">
        <f t="shared" si="52"/>
        <v>56.5</v>
      </c>
      <c r="Y106" s="144">
        <v>9.6666666666666661</v>
      </c>
      <c r="Z106" s="144">
        <v>5.5</v>
      </c>
      <c r="AA106" s="144">
        <v>36.5</v>
      </c>
      <c r="AB106" s="144">
        <v>4.833333333333333</v>
      </c>
      <c r="AC106" s="144">
        <f t="shared" si="53"/>
        <v>56.5</v>
      </c>
      <c r="AD106" s="144">
        <f t="shared" si="37"/>
        <v>3565944</v>
      </c>
      <c r="AE106" s="144">
        <f t="shared" si="38"/>
        <v>244080</v>
      </c>
      <c r="AF106" s="144">
        <f t="shared" si="39"/>
        <v>339000</v>
      </c>
      <c r="AG106" s="144">
        <f t="shared" si="40"/>
        <v>135600</v>
      </c>
      <c r="AH106" s="144">
        <f t="shared" si="41"/>
        <v>497200</v>
      </c>
      <c r="AI106" s="144">
        <f t="shared" si="42"/>
        <v>45200</v>
      </c>
      <c r="AJ106" s="144">
        <f t="shared" si="43"/>
        <v>20000</v>
      </c>
      <c r="AK106" s="144">
        <f t="shared" si="44"/>
        <v>54240</v>
      </c>
      <c r="AL106" s="144">
        <f t="shared" si="45"/>
        <v>1476130.68</v>
      </c>
      <c r="AM106" s="144">
        <f t="shared" si="46"/>
        <v>6377394.6799999997</v>
      </c>
      <c r="AN106" s="675">
        <f t="shared" si="34"/>
        <v>3826437</v>
      </c>
      <c r="AO106" s="675"/>
      <c r="AP106" s="675">
        <f t="shared" si="35"/>
        <v>3826437</v>
      </c>
      <c r="AQ106" s="675">
        <f t="shared" si="36"/>
        <v>1275479</v>
      </c>
    </row>
    <row r="107" spans="1:43" ht="15" customHeight="1">
      <c r="A107" s="141" t="s">
        <v>542</v>
      </c>
      <c r="B107" s="240" t="s">
        <v>2157</v>
      </c>
      <c r="C107" s="240" t="s">
        <v>2099</v>
      </c>
      <c r="D107" s="672">
        <v>3</v>
      </c>
      <c r="E107" s="165">
        <v>3</v>
      </c>
      <c r="F107" s="165">
        <v>3</v>
      </c>
      <c r="G107" s="165">
        <v>25</v>
      </c>
      <c r="H107" s="165">
        <v>3</v>
      </c>
      <c r="I107" s="144">
        <f t="shared" si="48"/>
        <v>34</v>
      </c>
      <c r="J107" s="672">
        <v>3</v>
      </c>
      <c r="K107" s="672">
        <v>0</v>
      </c>
      <c r="L107" s="672">
        <v>0</v>
      </c>
      <c r="M107" s="672">
        <v>0</v>
      </c>
      <c r="N107" s="144">
        <f t="shared" si="49"/>
        <v>3</v>
      </c>
      <c r="O107" s="144">
        <f t="shared" si="60"/>
        <v>6</v>
      </c>
      <c r="P107" s="144">
        <f t="shared" si="59"/>
        <v>3</v>
      </c>
      <c r="Q107" s="144">
        <f t="shared" si="59"/>
        <v>25</v>
      </c>
      <c r="R107" s="144">
        <f t="shared" si="59"/>
        <v>3</v>
      </c>
      <c r="S107" s="144">
        <f t="shared" si="51"/>
        <v>37</v>
      </c>
      <c r="T107" s="672">
        <v>1</v>
      </c>
      <c r="U107" s="672">
        <v>4</v>
      </c>
      <c r="V107" s="672">
        <v>25.333333333333332</v>
      </c>
      <c r="W107" s="672">
        <v>2.6666666666666665</v>
      </c>
      <c r="X107" s="144">
        <f t="shared" si="52"/>
        <v>33</v>
      </c>
      <c r="Y107" s="144">
        <v>1</v>
      </c>
      <c r="Z107" s="144">
        <v>4</v>
      </c>
      <c r="AA107" s="144">
        <v>25.333333333333332</v>
      </c>
      <c r="AB107" s="144">
        <v>2.6666666666666665</v>
      </c>
      <c r="AC107" s="144">
        <f t="shared" si="53"/>
        <v>33</v>
      </c>
      <c r="AD107" s="144">
        <f t="shared" si="37"/>
        <v>2039180</v>
      </c>
      <c r="AE107" s="144">
        <f t="shared" si="38"/>
        <v>142560</v>
      </c>
      <c r="AF107" s="144">
        <f t="shared" si="39"/>
        <v>198000</v>
      </c>
      <c r="AG107" s="144">
        <f t="shared" si="40"/>
        <v>79200</v>
      </c>
      <c r="AH107" s="144">
        <f t="shared" si="41"/>
        <v>290400</v>
      </c>
      <c r="AI107" s="144">
        <f t="shared" si="42"/>
        <v>26400</v>
      </c>
      <c r="AJ107" s="144">
        <f t="shared" si="43"/>
        <v>30000</v>
      </c>
      <c r="AK107" s="144">
        <f t="shared" si="44"/>
        <v>31680</v>
      </c>
      <c r="AL107" s="144">
        <f t="shared" si="45"/>
        <v>853131.01</v>
      </c>
      <c r="AM107" s="144">
        <f t="shared" si="46"/>
        <v>3690551.01</v>
      </c>
      <c r="AN107" s="675">
        <f t="shared" si="34"/>
        <v>2214331</v>
      </c>
      <c r="AO107" s="675"/>
      <c r="AP107" s="675">
        <f t="shared" si="35"/>
        <v>2214331</v>
      </c>
      <c r="AQ107" s="675">
        <f t="shared" si="36"/>
        <v>738110</v>
      </c>
    </row>
    <row r="108" spans="1:43" ht="15" customHeight="1">
      <c r="A108" s="141" t="s">
        <v>542</v>
      </c>
      <c r="B108" s="240" t="s">
        <v>477</v>
      </c>
      <c r="C108" s="240" t="s">
        <v>2101</v>
      </c>
      <c r="D108" s="672"/>
      <c r="E108" s="165">
        <v>0</v>
      </c>
      <c r="F108" s="165">
        <v>4</v>
      </c>
      <c r="G108" s="165">
        <v>0</v>
      </c>
      <c r="H108" s="165">
        <v>5</v>
      </c>
      <c r="I108" s="144">
        <f t="shared" si="48"/>
        <v>9</v>
      </c>
      <c r="J108" s="672">
        <v>0</v>
      </c>
      <c r="K108" s="672">
        <v>0</v>
      </c>
      <c r="L108" s="672">
        <v>0</v>
      </c>
      <c r="M108" s="672">
        <v>3</v>
      </c>
      <c r="N108" s="144">
        <f t="shared" si="49"/>
        <v>3</v>
      </c>
      <c r="O108" s="144">
        <f t="shared" si="60"/>
        <v>0</v>
      </c>
      <c r="P108" s="144">
        <f t="shared" si="59"/>
        <v>4</v>
      </c>
      <c r="Q108" s="144">
        <f t="shared" si="59"/>
        <v>0</v>
      </c>
      <c r="R108" s="144">
        <f t="shared" si="59"/>
        <v>8</v>
      </c>
      <c r="S108" s="144">
        <f t="shared" si="51"/>
        <v>12</v>
      </c>
      <c r="T108" s="672">
        <v>1</v>
      </c>
      <c r="U108" s="672">
        <v>3</v>
      </c>
      <c r="V108" s="672">
        <v>0</v>
      </c>
      <c r="W108" s="672">
        <v>8</v>
      </c>
      <c r="X108" s="144">
        <f t="shared" si="52"/>
        <v>12</v>
      </c>
      <c r="Y108" s="144">
        <v>1</v>
      </c>
      <c r="Z108" s="144">
        <v>3</v>
      </c>
      <c r="AA108" s="144">
        <v>0</v>
      </c>
      <c r="AB108" s="144">
        <v>8</v>
      </c>
      <c r="AC108" s="144">
        <f t="shared" si="53"/>
        <v>12</v>
      </c>
      <c r="AD108" s="144">
        <f t="shared" si="37"/>
        <v>669204</v>
      </c>
      <c r="AE108" s="144">
        <f t="shared" si="38"/>
        <v>51840</v>
      </c>
      <c r="AF108" s="144">
        <f t="shared" si="39"/>
        <v>72000</v>
      </c>
      <c r="AG108" s="144">
        <f t="shared" si="40"/>
        <v>28800</v>
      </c>
      <c r="AH108" s="144">
        <f t="shared" si="41"/>
        <v>105600</v>
      </c>
      <c r="AI108" s="144">
        <f t="shared" si="42"/>
        <v>9600</v>
      </c>
      <c r="AJ108" s="144">
        <f t="shared" si="43"/>
        <v>0</v>
      </c>
      <c r="AK108" s="144">
        <f t="shared" si="44"/>
        <v>11520</v>
      </c>
      <c r="AL108" s="144">
        <f t="shared" si="45"/>
        <v>280471.49</v>
      </c>
      <c r="AM108" s="144">
        <f t="shared" si="46"/>
        <v>1229035.49</v>
      </c>
      <c r="AN108" s="675">
        <f t="shared" si="34"/>
        <v>737421</v>
      </c>
      <c r="AO108" s="675"/>
      <c r="AP108" s="675">
        <f t="shared" si="35"/>
        <v>737421</v>
      </c>
      <c r="AQ108" s="675">
        <f t="shared" si="36"/>
        <v>245807</v>
      </c>
    </row>
    <row r="109" spans="1:43" ht="15" customHeight="1">
      <c r="A109" s="141" t="s">
        <v>542</v>
      </c>
      <c r="B109" s="240" t="s">
        <v>924</v>
      </c>
      <c r="C109" s="240" t="s">
        <v>2101</v>
      </c>
      <c r="D109" s="672"/>
      <c r="E109" s="165">
        <v>10</v>
      </c>
      <c r="F109" s="165">
        <v>12</v>
      </c>
      <c r="G109" s="165">
        <v>0</v>
      </c>
      <c r="H109" s="165">
        <v>14</v>
      </c>
      <c r="I109" s="144">
        <f t="shared" si="48"/>
        <v>36</v>
      </c>
      <c r="J109" s="672">
        <v>0</v>
      </c>
      <c r="K109" s="672">
        <v>0</v>
      </c>
      <c r="L109" s="672">
        <v>0</v>
      </c>
      <c r="M109" s="672">
        <v>0</v>
      </c>
      <c r="N109" s="144">
        <f t="shared" si="49"/>
        <v>0</v>
      </c>
      <c r="O109" s="144">
        <f t="shared" si="60"/>
        <v>10</v>
      </c>
      <c r="P109" s="144">
        <f t="shared" si="59"/>
        <v>12</v>
      </c>
      <c r="Q109" s="144">
        <f t="shared" si="59"/>
        <v>0</v>
      </c>
      <c r="R109" s="144">
        <f t="shared" si="59"/>
        <v>14</v>
      </c>
      <c r="S109" s="144">
        <f t="shared" si="51"/>
        <v>36</v>
      </c>
      <c r="T109" s="672">
        <v>16.833333333333332</v>
      </c>
      <c r="U109" s="672">
        <v>11.583333333333334</v>
      </c>
      <c r="V109" s="672">
        <v>0</v>
      </c>
      <c r="W109" s="672">
        <v>6.666666666666667</v>
      </c>
      <c r="X109" s="144">
        <f t="shared" si="52"/>
        <v>35.083333333333329</v>
      </c>
      <c r="Y109" s="144">
        <v>16.833333333333332</v>
      </c>
      <c r="Z109" s="144">
        <v>11.583333333333334</v>
      </c>
      <c r="AA109" s="144">
        <v>0</v>
      </c>
      <c r="AB109" s="144">
        <v>6.666666666666667</v>
      </c>
      <c r="AC109" s="144">
        <f t="shared" si="53"/>
        <v>35.083333333333329</v>
      </c>
      <c r="AD109" s="144">
        <f t="shared" si="37"/>
        <v>2285184</v>
      </c>
      <c r="AE109" s="144">
        <f t="shared" si="38"/>
        <v>151559.99999999997</v>
      </c>
      <c r="AF109" s="144">
        <f t="shared" si="39"/>
        <v>210499.99999999997</v>
      </c>
      <c r="AG109" s="144">
        <f t="shared" si="40"/>
        <v>84199.999999999985</v>
      </c>
      <c r="AH109" s="144">
        <f t="shared" si="41"/>
        <v>308733.33333333331</v>
      </c>
      <c r="AI109" s="144">
        <f t="shared" si="42"/>
        <v>28066.666666666664</v>
      </c>
      <c r="AJ109" s="144">
        <f t="shared" si="43"/>
        <v>0</v>
      </c>
      <c r="AK109" s="144">
        <f t="shared" si="44"/>
        <v>33679.999999999993</v>
      </c>
      <c r="AL109" s="144">
        <f t="shared" si="45"/>
        <v>937516.6</v>
      </c>
      <c r="AM109" s="144">
        <f t="shared" si="46"/>
        <v>4039440.6</v>
      </c>
      <c r="AN109" s="675">
        <f t="shared" si="34"/>
        <v>2423664</v>
      </c>
      <c r="AO109" s="675"/>
      <c r="AP109" s="675">
        <f t="shared" si="35"/>
        <v>2423664</v>
      </c>
      <c r="AQ109" s="675">
        <f t="shared" si="36"/>
        <v>807888</v>
      </c>
    </row>
    <row r="110" spans="1:43" ht="15" customHeight="1">
      <c r="A110" s="141" t="s">
        <v>542</v>
      </c>
      <c r="B110" s="240" t="s">
        <v>2158</v>
      </c>
      <c r="C110" s="240" t="s">
        <v>2101</v>
      </c>
      <c r="D110" s="672"/>
      <c r="E110" s="165">
        <v>0</v>
      </c>
      <c r="F110" s="165">
        <v>4</v>
      </c>
      <c r="G110" s="165">
        <v>0</v>
      </c>
      <c r="H110" s="165">
        <v>4</v>
      </c>
      <c r="I110" s="144">
        <f t="shared" si="48"/>
        <v>8</v>
      </c>
      <c r="J110" s="672">
        <v>4</v>
      </c>
      <c r="K110" s="672">
        <v>2</v>
      </c>
      <c r="L110" s="672">
        <v>0</v>
      </c>
      <c r="M110" s="672">
        <v>0</v>
      </c>
      <c r="N110" s="144">
        <f t="shared" si="49"/>
        <v>6</v>
      </c>
      <c r="O110" s="144">
        <f t="shared" si="60"/>
        <v>4</v>
      </c>
      <c r="P110" s="144">
        <f t="shared" si="59"/>
        <v>6</v>
      </c>
      <c r="Q110" s="144">
        <f t="shared" si="59"/>
        <v>0</v>
      </c>
      <c r="R110" s="144">
        <f t="shared" si="59"/>
        <v>4</v>
      </c>
      <c r="S110" s="144">
        <f t="shared" si="51"/>
        <v>14</v>
      </c>
      <c r="T110" s="672">
        <v>3.0833333333333335</v>
      </c>
      <c r="U110" s="672">
        <v>2.8333333333333335</v>
      </c>
      <c r="V110" s="672">
        <v>0</v>
      </c>
      <c r="W110" s="672">
        <v>3</v>
      </c>
      <c r="X110" s="144">
        <f t="shared" si="52"/>
        <v>8.9166666666666679</v>
      </c>
      <c r="Y110" s="144">
        <v>3.0833333333333335</v>
      </c>
      <c r="Z110" s="144">
        <v>2.8333333333333335</v>
      </c>
      <c r="AA110" s="144">
        <v>0</v>
      </c>
      <c r="AB110" s="144">
        <v>3</v>
      </c>
      <c r="AC110" s="144">
        <f t="shared" si="53"/>
        <v>8.9166666666666679</v>
      </c>
      <c r="AD110" s="144">
        <f t="shared" si="37"/>
        <v>554129</v>
      </c>
      <c r="AE110" s="144">
        <f t="shared" si="38"/>
        <v>38520.000000000007</v>
      </c>
      <c r="AF110" s="144">
        <f t="shared" si="39"/>
        <v>53500.000000000007</v>
      </c>
      <c r="AG110" s="144">
        <f t="shared" si="40"/>
        <v>21400.000000000004</v>
      </c>
      <c r="AH110" s="144">
        <f t="shared" si="41"/>
        <v>78466.666666666672</v>
      </c>
      <c r="AI110" s="144">
        <f t="shared" si="42"/>
        <v>7133.3333333333339</v>
      </c>
      <c r="AJ110" s="144">
        <f t="shared" si="43"/>
        <v>0</v>
      </c>
      <c r="AK110" s="144">
        <f t="shared" si="44"/>
        <v>8560.0000000000018</v>
      </c>
      <c r="AL110" s="144">
        <f t="shared" si="45"/>
        <v>228741.5</v>
      </c>
      <c r="AM110" s="144">
        <f t="shared" si="46"/>
        <v>990450.5</v>
      </c>
      <c r="AN110" s="675">
        <f t="shared" si="34"/>
        <v>594270</v>
      </c>
      <c r="AO110" s="675"/>
      <c r="AP110" s="675">
        <f t="shared" si="35"/>
        <v>594270</v>
      </c>
      <c r="AQ110" s="675">
        <f t="shared" si="36"/>
        <v>198090</v>
      </c>
    </row>
    <row r="111" spans="1:43" ht="15" customHeight="1">
      <c r="A111" s="141" t="s">
        <v>542</v>
      </c>
      <c r="B111" s="240" t="s">
        <v>475</v>
      </c>
      <c r="C111" s="240" t="s">
        <v>2101</v>
      </c>
      <c r="D111" s="672"/>
      <c r="E111" s="165">
        <v>0</v>
      </c>
      <c r="F111" s="165">
        <v>4</v>
      </c>
      <c r="G111" s="165">
        <v>0</v>
      </c>
      <c r="H111" s="165">
        <v>5.5</v>
      </c>
      <c r="I111" s="144">
        <f t="shared" si="48"/>
        <v>9.5</v>
      </c>
      <c r="J111" s="672">
        <v>0</v>
      </c>
      <c r="K111" s="672">
        <v>0</v>
      </c>
      <c r="L111" s="672">
        <v>0</v>
      </c>
      <c r="M111" s="672">
        <v>1</v>
      </c>
      <c r="N111" s="144">
        <f t="shared" si="49"/>
        <v>1</v>
      </c>
      <c r="O111" s="144">
        <f t="shared" si="60"/>
        <v>0</v>
      </c>
      <c r="P111" s="144">
        <f t="shared" si="59"/>
        <v>4</v>
      </c>
      <c r="Q111" s="144">
        <f t="shared" si="59"/>
        <v>0</v>
      </c>
      <c r="R111" s="144">
        <f t="shared" si="59"/>
        <v>6.5</v>
      </c>
      <c r="S111" s="144">
        <f t="shared" si="51"/>
        <v>10.5</v>
      </c>
      <c r="T111" s="672">
        <v>0</v>
      </c>
      <c r="U111" s="672">
        <v>2</v>
      </c>
      <c r="V111" s="672">
        <v>0</v>
      </c>
      <c r="W111" s="672">
        <v>6</v>
      </c>
      <c r="X111" s="144">
        <f t="shared" si="52"/>
        <v>8</v>
      </c>
      <c r="Y111" s="144">
        <v>0</v>
      </c>
      <c r="Z111" s="144">
        <v>2</v>
      </c>
      <c r="AA111" s="144">
        <v>0</v>
      </c>
      <c r="AB111" s="144">
        <v>6</v>
      </c>
      <c r="AC111" s="144">
        <f t="shared" si="53"/>
        <v>8</v>
      </c>
      <c r="AD111" s="144">
        <f t="shared" si="37"/>
        <v>432000</v>
      </c>
      <c r="AE111" s="144">
        <f t="shared" si="38"/>
        <v>34560</v>
      </c>
      <c r="AF111" s="144">
        <f t="shared" si="39"/>
        <v>48000</v>
      </c>
      <c r="AG111" s="144">
        <f t="shared" si="40"/>
        <v>19200</v>
      </c>
      <c r="AH111" s="144">
        <f t="shared" si="41"/>
        <v>70400</v>
      </c>
      <c r="AI111" s="144">
        <f t="shared" si="42"/>
        <v>6400</v>
      </c>
      <c r="AJ111" s="144">
        <f t="shared" si="43"/>
        <v>0</v>
      </c>
      <c r="AK111" s="144">
        <f t="shared" si="44"/>
        <v>7680</v>
      </c>
      <c r="AL111" s="144">
        <f t="shared" si="45"/>
        <v>181926.53</v>
      </c>
      <c r="AM111" s="144">
        <f t="shared" si="46"/>
        <v>800166.53</v>
      </c>
      <c r="AN111" s="675">
        <f t="shared" si="34"/>
        <v>480100</v>
      </c>
      <c r="AO111" s="675"/>
      <c r="AP111" s="675">
        <f t="shared" si="35"/>
        <v>480100</v>
      </c>
      <c r="AQ111" s="675">
        <f t="shared" si="36"/>
        <v>160033</v>
      </c>
    </row>
    <row r="112" spans="1:43" ht="15" customHeight="1">
      <c r="A112" s="141" t="s">
        <v>542</v>
      </c>
      <c r="B112" s="240" t="s">
        <v>922</v>
      </c>
      <c r="C112" s="240" t="s">
        <v>2101</v>
      </c>
      <c r="D112" s="672"/>
      <c r="E112" s="165">
        <v>0</v>
      </c>
      <c r="F112" s="165">
        <v>4</v>
      </c>
      <c r="G112" s="165">
        <v>0</v>
      </c>
      <c r="H112" s="165">
        <v>6</v>
      </c>
      <c r="I112" s="144">
        <f t="shared" si="48"/>
        <v>10</v>
      </c>
      <c r="J112" s="672">
        <v>1.9166666666666667</v>
      </c>
      <c r="K112" s="672">
        <v>1</v>
      </c>
      <c r="L112" s="672">
        <v>0</v>
      </c>
      <c r="M112" s="672">
        <v>0.91666666666666663</v>
      </c>
      <c r="N112" s="144">
        <f t="shared" si="49"/>
        <v>3.8333333333333335</v>
      </c>
      <c r="O112" s="144">
        <f t="shared" si="60"/>
        <v>1.9166666666666667</v>
      </c>
      <c r="P112" s="144">
        <f t="shared" si="59"/>
        <v>5</v>
      </c>
      <c r="Q112" s="144">
        <f t="shared" si="59"/>
        <v>0</v>
      </c>
      <c r="R112" s="144">
        <f t="shared" si="59"/>
        <v>6.916666666666667</v>
      </c>
      <c r="S112" s="144">
        <f t="shared" si="51"/>
        <v>13.833333333333334</v>
      </c>
      <c r="T112" s="672">
        <v>1.75</v>
      </c>
      <c r="U112" s="672">
        <v>1.5833333333333333</v>
      </c>
      <c r="V112" s="672">
        <v>0.41666666666666669</v>
      </c>
      <c r="W112" s="672">
        <v>5.416666666666667</v>
      </c>
      <c r="X112" s="144">
        <f t="shared" si="52"/>
        <v>9.1666666666666661</v>
      </c>
      <c r="Y112" s="144">
        <v>1.75</v>
      </c>
      <c r="Z112" s="144">
        <v>1.5833333333333333</v>
      </c>
      <c r="AA112" s="144">
        <v>0.41666666666666669</v>
      </c>
      <c r="AB112" s="144">
        <v>5.416666666666667</v>
      </c>
      <c r="AC112" s="144">
        <f t="shared" si="53"/>
        <v>9.1666666666666661</v>
      </c>
      <c r="AD112" s="144">
        <f t="shared" si="37"/>
        <v>528327</v>
      </c>
      <c r="AE112" s="144">
        <f t="shared" si="38"/>
        <v>39600</v>
      </c>
      <c r="AF112" s="144">
        <f t="shared" si="39"/>
        <v>55000</v>
      </c>
      <c r="AG112" s="144">
        <f t="shared" si="40"/>
        <v>22000</v>
      </c>
      <c r="AH112" s="144">
        <f t="shared" si="41"/>
        <v>80666.666666666657</v>
      </c>
      <c r="AI112" s="144">
        <f t="shared" si="42"/>
        <v>7333.333333333333</v>
      </c>
      <c r="AJ112" s="144">
        <f t="shared" si="43"/>
        <v>0</v>
      </c>
      <c r="AK112" s="144">
        <f t="shared" si="44"/>
        <v>8800</v>
      </c>
      <c r="AL112" s="144">
        <f t="shared" si="45"/>
        <v>220373.88</v>
      </c>
      <c r="AM112" s="144">
        <f t="shared" si="46"/>
        <v>962100.88</v>
      </c>
      <c r="AN112" s="675">
        <f t="shared" si="34"/>
        <v>577261</v>
      </c>
      <c r="AO112" s="675"/>
      <c r="AP112" s="675">
        <f t="shared" si="35"/>
        <v>577261</v>
      </c>
      <c r="AQ112" s="675">
        <f t="shared" si="36"/>
        <v>192420</v>
      </c>
    </row>
    <row r="113" spans="1:43" ht="15" customHeight="1">
      <c r="A113" s="141" t="s">
        <v>542</v>
      </c>
      <c r="B113" s="240" t="s">
        <v>925</v>
      </c>
      <c r="C113" s="240" t="s">
        <v>2101</v>
      </c>
      <c r="D113" s="672"/>
      <c r="E113" s="165">
        <v>0</v>
      </c>
      <c r="F113" s="165">
        <v>5</v>
      </c>
      <c r="G113" s="165">
        <v>0</v>
      </c>
      <c r="H113" s="165">
        <v>6</v>
      </c>
      <c r="I113" s="144">
        <f t="shared" si="48"/>
        <v>11</v>
      </c>
      <c r="J113" s="672">
        <v>2</v>
      </c>
      <c r="K113" s="672">
        <v>2</v>
      </c>
      <c r="L113" s="672">
        <v>0</v>
      </c>
      <c r="M113" s="672">
        <v>0</v>
      </c>
      <c r="N113" s="144">
        <f t="shared" si="49"/>
        <v>4</v>
      </c>
      <c r="O113" s="144">
        <f t="shared" si="60"/>
        <v>2</v>
      </c>
      <c r="P113" s="144">
        <f t="shared" si="59"/>
        <v>7</v>
      </c>
      <c r="Q113" s="144">
        <f t="shared" si="59"/>
        <v>0</v>
      </c>
      <c r="R113" s="144">
        <f t="shared" si="59"/>
        <v>6</v>
      </c>
      <c r="S113" s="144">
        <f t="shared" si="51"/>
        <v>15</v>
      </c>
      <c r="T113" s="672">
        <v>2</v>
      </c>
      <c r="U113" s="672">
        <v>7</v>
      </c>
      <c r="V113" s="672">
        <v>0</v>
      </c>
      <c r="W113" s="672">
        <v>6</v>
      </c>
      <c r="X113" s="144">
        <f t="shared" si="52"/>
        <v>15</v>
      </c>
      <c r="Y113" s="144">
        <v>2</v>
      </c>
      <c r="Z113" s="144">
        <v>7</v>
      </c>
      <c r="AA113" s="144">
        <v>0</v>
      </c>
      <c r="AB113" s="144">
        <v>6</v>
      </c>
      <c r="AC113" s="144">
        <f t="shared" si="53"/>
        <v>15</v>
      </c>
      <c r="AD113" s="144">
        <f t="shared" si="37"/>
        <v>891408</v>
      </c>
      <c r="AE113" s="144">
        <f t="shared" si="38"/>
        <v>64800</v>
      </c>
      <c r="AF113" s="144">
        <f t="shared" si="39"/>
        <v>90000</v>
      </c>
      <c r="AG113" s="144">
        <f t="shared" si="40"/>
        <v>36000</v>
      </c>
      <c r="AH113" s="144">
        <f t="shared" si="41"/>
        <v>132000</v>
      </c>
      <c r="AI113" s="144">
        <f t="shared" si="42"/>
        <v>12000</v>
      </c>
      <c r="AJ113" s="144">
        <f t="shared" si="43"/>
        <v>0</v>
      </c>
      <c r="AK113" s="144">
        <f t="shared" si="44"/>
        <v>14400</v>
      </c>
      <c r="AL113" s="144">
        <f t="shared" si="45"/>
        <v>370220.48</v>
      </c>
      <c r="AM113" s="144">
        <f t="shared" si="46"/>
        <v>1610828.48</v>
      </c>
      <c r="AN113" s="675">
        <f t="shared" si="34"/>
        <v>966497</v>
      </c>
      <c r="AO113" s="675"/>
      <c r="AP113" s="675">
        <f t="shared" si="35"/>
        <v>966497</v>
      </c>
      <c r="AQ113" s="675">
        <f t="shared" si="36"/>
        <v>322166</v>
      </c>
    </row>
    <row r="114" spans="1:43" ht="15" customHeight="1">
      <c r="A114" s="141" t="s">
        <v>542</v>
      </c>
      <c r="B114" s="240" t="s">
        <v>923</v>
      </c>
      <c r="C114" s="240" t="s">
        <v>2101</v>
      </c>
      <c r="D114" s="672"/>
      <c r="E114" s="165">
        <v>0</v>
      </c>
      <c r="F114" s="165">
        <v>6</v>
      </c>
      <c r="G114" s="165">
        <v>0</v>
      </c>
      <c r="H114" s="165">
        <v>6</v>
      </c>
      <c r="I114" s="144">
        <f t="shared" si="48"/>
        <v>12</v>
      </c>
      <c r="J114" s="672">
        <v>2</v>
      </c>
      <c r="K114" s="672">
        <v>5</v>
      </c>
      <c r="L114" s="672">
        <v>0</v>
      </c>
      <c r="M114" s="672">
        <v>1</v>
      </c>
      <c r="N114" s="144">
        <f t="shared" si="49"/>
        <v>8</v>
      </c>
      <c r="O114" s="144">
        <f t="shared" si="60"/>
        <v>2</v>
      </c>
      <c r="P114" s="144">
        <f t="shared" si="59"/>
        <v>11</v>
      </c>
      <c r="Q114" s="144">
        <f t="shared" si="59"/>
        <v>0</v>
      </c>
      <c r="R114" s="144">
        <f t="shared" si="59"/>
        <v>7</v>
      </c>
      <c r="S114" s="144">
        <f t="shared" si="51"/>
        <v>20</v>
      </c>
      <c r="T114" s="672">
        <v>2.8333333333333335</v>
      </c>
      <c r="U114" s="672">
        <v>10.166666666666666</v>
      </c>
      <c r="V114" s="672">
        <v>0</v>
      </c>
      <c r="W114" s="672">
        <v>6.083333333333333</v>
      </c>
      <c r="X114" s="144">
        <f t="shared" si="52"/>
        <v>19.083333333333332</v>
      </c>
      <c r="Y114" s="144">
        <v>2.8333333333333335</v>
      </c>
      <c r="Z114" s="144">
        <v>10.166666666666666</v>
      </c>
      <c r="AA114" s="144">
        <v>0</v>
      </c>
      <c r="AB114" s="144">
        <v>6.083333333333333</v>
      </c>
      <c r="AC114" s="144">
        <f t="shared" si="53"/>
        <v>19.083333333333332</v>
      </c>
      <c r="AD114" s="144">
        <f t="shared" si="37"/>
        <v>1155328</v>
      </c>
      <c r="AE114" s="144">
        <f t="shared" si="38"/>
        <v>82440</v>
      </c>
      <c r="AF114" s="144">
        <f t="shared" si="39"/>
        <v>114500</v>
      </c>
      <c r="AG114" s="144">
        <f t="shared" si="40"/>
        <v>45800</v>
      </c>
      <c r="AH114" s="144">
        <f t="shared" si="41"/>
        <v>167933.33333333331</v>
      </c>
      <c r="AI114" s="144">
        <f t="shared" si="42"/>
        <v>15266.666666666666</v>
      </c>
      <c r="AJ114" s="144">
        <f t="shared" si="43"/>
        <v>0</v>
      </c>
      <c r="AK114" s="144">
        <f t="shared" si="44"/>
        <v>18320</v>
      </c>
      <c r="AL114" s="144">
        <f t="shared" si="45"/>
        <v>478604.07</v>
      </c>
      <c r="AM114" s="144">
        <f t="shared" si="46"/>
        <v>2078192.07</v>
      </c>
      <c r="AN114" s="675">
        <f t="shared" si="34"/>
        <v>1246915</v>
      </c>
      <c r="AO114" s="675"/>
      <c r="AP114" s="675">
        <f t="shared" si="35"/>
        <v>1246915</v>
      </c>
      <c r="AQ114" s="675">
        <f t="shared" si="36"/>
        <v>415638</v>
      </c>
    </row>
    <row r="115" spans="1:43" ht="15" customHeight="1">
      <c r="A115" s="141" t="s">
        <v>542</v>
      </c>
      <c r="B115" s="240" t="s">
        <v>2159</v>
      </c>
      <c r="C115" s="240" t="s">
        <v>2101</v>
      </c>
      <c r="D115" s="672"/>
      <c r="E115" s="165">
        <v>0</v>
      </c>
      <c r="F115" s="165">
        <v>4</v>
      </c>
      <c r="G115" s="165">
        <v>0</v>
      </c>
      <c r="H115" s="165">
        <v>6</v>
      </c>
      <c r="I115" s="144">
        <f t="shared" si="48"/>
        <v>10</v>
      </c>
      <c r="J115" s="672">
        <v>0</v>
      </c>
      <c r="K115" s="672">
        <v>0</v>
      </c>
      <c r="L115" s="672">
        <v>0</v>
      </c>
      <c r="M115" s="672">
        <v>2</v>
      </c>
      <c r="N115" s="144">
        <f t="shared" si="49"/>
        <v>2</v>
      </c>
      <c r="O115" s="144">
        <f t="shared" si="60"/>
        <v>0</v>
      </c>
      <c r="P115" s="144">
        <f t="shared" si="59"/>
        <v>4</v>
      </c>
      <c r="Q115" s="144">
        <f t="shared" si="59"/>
        <v>0</v>
      </c>
      <c r="R115" s="144">
        <f t="shared" si="59"/>
        <v>8</v>
      </c>
      <c r="S115" s="144">
        <f t="shared" si="51"/>
        <v>12</v>
      </c>
      <c r="T115" s="672">
        <v>2.5833333333333335</v>
      </c>
      <c r="U115" s="672">
        <v>2.75</v>
      </c>
      <c r="V115" s="672">
        <v>0</v>
      </c>
      <c r="W115" s="672">
        <v>4.833333333333333</v>
      </c>
      <c r="X115" s="144">
        <f t="shared" si="52"/>
        <v>10.166666666666668</v>
      </c>
      <c r="Y115" s="144">
        <v>2.5833333333333335</v>
      </c>
      <c r="Z115" s="144">
        <v>2.75</v>
      </c>
      <c r="AA115" s="144">
        <v>0</v>
      </c>
      <c r="AB115" s="144">
        <v>4.833333333333333</v>
      </c>
      <c r="AC115" s="144">
        <f t="shared" si="53"/>
        <v>10.166666666666668</v>
      </c>
      <c r="AD115" s="144">
        <f t="shared" si="37"/>
        <v>606277</v>
      </c>
      <c r="AE115" s="144">
        <f t="shared" si="38"/>
        <v>43920.000000000007</v>
      </c>
      <c r="AF115" s="144">
        <f t="shared" si="39"/>
        <v>61000.000000000007</v>
      </c>
      <c r="AG115" s="144">
        <f t="shared" si="40"/>
        <v>24400.000000000004</v>
      </c>
      <c r="AH115" s="144">
        <f t="shared" si="41"/>
        <v>89466.666666666672</v>
      </c>
      <c r="AI115" s="144">
        <f t="shared" si="42"/>
        <v>8133.3333333333339</v>
      </c>
      <c r="AJ115" s="144">
        <f t="shared" si="43"/>
        <v>0</v>
      </c>
      <c r="AK115" s="144">
        <f t="shared" si="44"/>
        <v>9760.0000000000018</v>
      </c>
      <c r="AL115" s="144">
        <f t="shared" si="45"/>
        <v>251678.26</v>
      </c>
      <c r="AM115" s="144">
        <f t="shared" si="46"/>
        <v>1094635.26</v>
      </c>
      <c r="AN115" s="675">
        <f t="shared" si="34"/>
        <v>656781</v>
      </c>
      <c r="AO115" s="675"/>
      <c r="AP115" s="675">
        <f t="shared" si="35"/>
        <v>656781</v>
      </c>
      <c r="AQ115" s="675">
        <f t="shared" si="36"/>
        <v>218927</v>
      </c>
    </row>
    <row r="116" spans="1:43" ht="15" customHeight="1">
      <c r="A116" s="141" t="s">
        <v>542</v>
      </c>
      <c r="B116" s="240" t="s">
        <v>2160</v>
      </c>
      <c r="C116" s="240" t="s">
        <v>2099</v>
      </c>
      <c r="D116" s="672">
        <v>2</v>
      </c>
      <c r="E116" s="165">
        <v>3</v>
      </c>
      <c r="F116" s="165">
        <v>3</v>
      </c>
      <c r="G116" s="165">
        <v>22</v>
      </c>
      <c r="H116" s="165">
        <v>3</v>
      </c>
      <c r="I116" s="144">
        <f t="shared" si="48"/>
        <v>31</v>
      </c>
      <c r="J116" s="672">
        <v>6.416666666666667</v>
      </c>
      <c r="K116" s="672">
        <v>2.4166666666666665</v>
      </c>
      <c r="L116" s="672">
        <v>3</v>
      </c>
      <c r="M116" s="672">
        <v>0</v>
      </c>
      <c r="N116" s="144">
        <f t="shared" si="49"/>
        <v>11.833333333333334</v>
      </c>
      <c r="O116" s="144">
        <f t="shared" si="60"/>
        <v>9.4166666666666679</v>
      </c>
      <c r="P116" s="144">
        <f t="shared" si="59"/>
        <v>5.4166666666666661</v>
      </c>
      <c r="Q116" s="144">
        <f t="shared" si="59"/>
        <v>25</v>
      </c>
      <c r="R116" s="144">
        <f t="shared" si="59"/>
        <v>3</v>
      </c>
      <c r="S116" s="144">
        <f t="shared" si="51"/>
        <v>42.833333333333336</v>
      </c>
      <c r="T116" s="672">
        <v>12.25</v>
      </c>
      <c r="U116" s="672">
        <v>4.666666666666667</v>
      </c>
      <c r="V116" s="672">
        <v>22.166666666666668</v>
      </c>
      <c r="W116" s="672">
        <v>1.8333333333333333</v>
      </c>
      <c r="X116" s="144">
        <f t="shared" si="52"/>
        <v>40.916666666666671</v>
      </c>
      <c r="Y116" s="144">
        <v>12.25</v>
      </c>
      <c r="Z116" s="144">
        <v>4.666666666666667</v>
      </c>
      <c r="AA116" s="144">
        <v>22.166666666666668</v>
      </c>
      <c r="AB116" s="144">
        <v>1.8333333333333333</v>
      </c>
      <c r="AC116" s="144">
        <f t="shared" si="53"/>
        <v>40.916666666666671</v>
      </c>
      <c r="AD116" s="144">
        <f t="shared" si="37"/>
        <v>2653603</v>
      </c>
      <c r="AE116" s="144">
        <f t="shared" si="38"/>
        <v>176760.00000000003</v>
      </c>
      <c r="AF116" s="144">
        <f t="shared" si="39"/>
        <v>245500.00000000003</v>
      </c>
      <c r="AG116" s="144">
        <f t="shared" si="40"/>
        <v>98200.000000000015</v>
      </c>
      <c r="AH116" s="144">
        <f t="shared" si="41"/>
        <v>360066.66666666669</v>
      </c>
      <c r="AI116" s="144">
        <f t="shared" si="42"/>
        <v>32733.333333333336</v>
      </c>
      <c r="AJ116" s="144">
        <f t="shared" si="43"/>
        <v>20000</v>
      </c>
      <c r="AK116" s="144">
        <f t="shared" si="44"/>
        <v>39280.000000000007</v>
      </c>
      <c r="AL116" s="144">
        <f t="shared" si="45"/>
        <v>1096423.06</v>
      </c>
      <c r="AM116" s="144">
        <f t="shared" si="46"/>
        <v>4722566.0600000005</v>
      </c>
      <c r="AN116" s="675">
        <f t="shared" si="34"/>
        <v>2833540</v>
      </c>
      <c r="AO116" s="675"/>
      <c r="AP116" s="675">
        <f t="shared" si="35"/>
        <v>2833540</v>
      </c>
      <c r="AQ116" s="675">
        <f t="shared" si="36"/>
        <v>944513</v>
      </c>
    </row>
    <row r="117" spans="1:43" ht="15" customHeight="1">
      <c r="A117" s="141" t="s">
        <v>542</v>
      </c>
      <c r="B117" s="240" t="s">
        <v>2161</v>
      </c>
      <c r="C117" s="240" t="s">
        <v>2099</v>
      </c>
      <c r="D117" s="672">
        <v>1</v>
      </c>
      <c r="E117" s="165">
        <v>1</v>
      </c>
      <c r="F117" s="165">
        <v>1</v>
      </c>
      <c r="G117" s="165">
        <v>9</v>
      </c>
      <c r="H117" s="165">
        <v>1</v>
      </c>
      <c r="I117" s="144">
        <f t="shared" si="48"/>
        <v>12</v>
      </c>
      <c r="J117" s="672">
        <v>2</v>
      </c>
      <c r="K117" s="672">
        <v>2</v>
      </c>
      <c r="L117" s="672">
        <v>4</v>
      </c>
      <c r="M117" s="672">
        <v>1</v>
      </c>
      <c r="N117" s="144">
        <f t="shared" si="49"/>
        <v>9</v>
      </c>
      <c r="O117" s="144">
        <f t="shared" si="60"/>
        <v>3</v>
      </c>
      <c r="P117" s="144">
        <f t="shared" si="59"/>
        <v>3</v>
      </c>
      <c r="Q117" s="144">
        <f t="shared" si="59"/>
        <v>13</v>
      </c>
      <c r="R117" s="144">
        <f t="shared" si="59"/>
        <v>2</v>
      </c>
      <c r="S117" s="144">
        <f t="shared" si="51"/>
        <v>21</v>
      </c>
      <c r="T117" s="672">
        <v>2.3333333333333335</v>
      </c>
      <c r="U117" s="672">
        <v>2</v>
      </c>
      <c r="V117" s="672">
        <v>5.666666666666667</v>
      </c>
      <c r="W117" s="672">
        <v>1</v>
      </c>
      <c r="X117" s="144">
        <f t="shared" si="52"/>
        <v>11</v>
      </c>
      <c r="Y117" s="144">
        <v>2.3333333333333335</v>
      </c>
      <c r="Z117" s="144">
        <v>2</v>
      </c>
      <c r="AA117" s="144">
        <v>5.666666666666667</v>
      </c>
      <c r="AB117" s="144">
        <v>1</v>
      </c>
      <c r="AC117" s="144">
        <f t="shared" si="53"/>
        <v>11</v>
      </c>
      <c r="AD117" s="144">
        <f t="shared" si="37"/>
        <v>698668</v>
      </c>
      <c r="AE117" s="144">
        <f t="shared" si="38"/>
        <v>47520</v>
      </c>
      <c r="AF117" s="144">
        <f t="shared" si="39"/>
        <v>66000</v>
      </c>
      <c r="AG117" s="144">
        <f t="shared" si="40"/>
        <v>26400</v>
      </c>
      <c r="AH117" s="144">
        <f t="shared" si="41"/>
        <v>96800</v>
      </c>
      <c r="AI117" s="144">
        <f t="shared" si="42"/>
        <v>8800</v>
      </c>
      <c r="AJ117" s="144">
        <f t="shared" si="43"/>
        <v>10000</v>
      </c>
      <c r="AK117" s="144">
        <f t="shared" si="44"/>
        <v>10560</v>
      </c>
      <c r="AL117" s="144">
        <f t="shared" si="45"/>
        <v>291149.67</v>
      </c>
      <c r="AM117" s="144">
        <f t="shared" si="46"/>
        <v>1255897.67</v>
      </c>
      <c r="AN117" s="675">
        <f t="shared" si="34"/>
        <v>753539</v>
      </c>
      <c r="AO117" s="675"/>
      <c r="AP117" s="675">
        <f t="shared" si="35"/>
        <v>753539</v>
      </c>
      <c r="AQ117" s="675">
        <f t="shared" si="36"/>
        <v>251180</v>
      </c>
    </row>
    <row r="118" spans="1:43" ht="15" customHeight="1">
      <c r="A118" s="676"/>
      <c r="B118" s="676" t="s">
        <v>2162</v>
      </c>
      <c r="C118" s="676"/>
      <c r="D118" s="146">
        <f>SUM(D104:D117)</f>
        <v>12</v>
      </c>
      <c r="E118" s="146">
        <f t="shared" ref="E118:AQ118" si="61">SUM(E104:E117)</f>
        <v>29</v>
      </c>
      <c r="F118" s="146">
        <f t="shared" si="61"/>
        <v>59</v>
      </c>
      <c r="G118" s="146">
        <f t="shared" si="61"/>
        <v>148</v>
      </c>
      <c r="H118" s="146">
        <f t="shared" si="61"/>
        <v>69.5</v>
      </c>
      <c r="I118" s="146">
        <f t="shared" si="61"/>
        <v>305.5</v>
      </c>
      <c r="J118" s="146">
        <f t="shared" si="61"/>
        <v>40.333333333333336</v>
      </c>
      <c r="K118" s="146">
        <f t="shared" si="61"/>
        <v>15.416666666666666</v>
      </c>
      <c r="L118" s="146">
        <f t="shared" si="61"/>
        <v>7.9166666666666661</v>
      </c>
      <c r="M118" s="146">
        <f t="shared" si="61"/>
        <v>11.833333333333332</v>
      </c>
      <c r="N118" s="146">
        <f t="shared" si="61"/>
        <v>75.5</v>
      </c>
      <c r="O118" s="146">
        <f t="shared" si="61"/>
        <v>69.333333333333329</v>
      </c>
      <c r="P118" s="146">
        <f t="shared" si="61"/>
        <v>74.416666666666671</v>
      </c>
      <c r="Q118" s="146">
        <f t="shared" si="61"/>
        <v>155.91666666666666</v>
      </c>
      <c r="R118" s="146">
        <f t="shared" si="61"/>
        <v>81.333333333333329</v>
      </c>
      <c r="S118" s="146">
        <f t="shared" si="61"/>
        <v>380.99999999999994</v>
      </c>
      <c r="T118" s="146">
        <f t="shared" si="61"/>
        <v>72.666666666666671</v>
      </c>
      <c r="U118" s="146">
        <f t="shared" si="61"/>
        <v>63.083333333333336</v>
      </c>
      <c r="V118" s="146">
        <f t="shared" si="61"/>
        <v>142.66666666666666</v>
      </c>
      <c r="W118" s="146">
        <f t="shared" si="61"/>
        <v>62</v>
      </c>
      <c r="X118" s="146">
        <f t="shared" si="61"/>
        <v>340.41666666666663</v>
      </c>
      <c r="Y118" s="146">
        <f t="shared" si="61"/>
        <v>72.666666666666671</v>
      </c>
      <c r="Z118" s="146">
        <f t="shared" si="61"/>
        <v>63.083333333333336</v>
      </c>
      <c r="AA118" s="146">
        <f t="shared" si="61"/>
        <v>142.66666666666666</v>
      </c>
      <c r="AB118" s="146">
        <f t="shared" si="61"/>
        <v>62</v>
      </c>
      <c r="AC118" s="146">
        <f t="shared" si="61"/>
        <v>340.41666666666663</v>
      </c>
      <c r="AD118" s="146">
        <f t="shared" si="61"/>
        <v>21275202</v>
      </c>
      <c r="AE118" s="146">
        <f t="shared" si="61"/>
        <v>1470600</v>
      </c>
      <c r="AF118" s="146">
        <f t="shared" si="61"/>
        <v>2042500</v>
      </c>
      <c r="AG118" s="146">
        <f t="shared" si="61"/>
        <v>817000</v>
      </c>
      <c r="AH118" s="146">
        <f t="shared" si="61"/>
        <v>2995666.6666666665</v>
      </c>
      <c r="AI118" s="146">
        <f t="shared" si="61"/>
        <v>272333.33333333331</v>
      </c>
      <c r="AJ118" s="146">
        <f t="shared" si="61"/>
        <v>120000</v>
      </c>
      <c r="AK118" s="146">
        <f t="shared" si="61"/>
        <v>326800</v>
      </c>
      <c r="AL118" s="146">
        <f t="shared" si="61"/>
        <v>8818574.5099999998</v>
      </c>
      <c r="AM118" s="146">
        <f t="shared" si="61"/>
        <v>38138676.510000005</v>
      </c>
      <c r="AN118" s="146">
        <f t="shared" si="61"/>
        <v>22883206</v>
      </c>
      <c r="AO118" s="146">
        <f t="shared" si="61"/>
        <v>0</v>
      </c>
      <c r="AP118" s="146">
        <f t="shared" si="61"/>
        <v>22883206</v>
      </c>
      <c r="AQ118" s="146">
        <f t="shared" si="61"/>
        <v>7627734</v>
      </c>
    </row>
    <row r="119" spans="1:43" ht="15" customHeight="1">
      <c r="A119" s="676"/>
      <c r="B119" s="676" t="s">
        <v>487</v>
      </c>
      <c r="C119" s="676"/>
      <c r="D119" s="146">
        <f t="shared" ref="D119:AQ119" si="62">SUM(D118,D103,D98,D91,D71,D52,D33,D21,D13)</f>
        <v>90</v>
      </c>
      <c r="E119" s="146">
        <f t="shared" si="62"/>
        <v>229</v>
      </c>
      <c r="F119" s="146">
        <f t="shared" si="62"/>
        <v>397</v>
      </c>
      <c r="G119" s="146">
        <f t="shared" si="62"/>
        <v>1249</v>
      </c>
      <c r="H119" s="146">
        <f t="shared" si="62"/>
        <v>482</v>
      </c>
      <c r="I119" s="146">
        <f t="shared" si="62"/>
        <v>2357</v>
      </c>
      <c r="J119" s="146">
        <f t="shared" si="62"/>
        <v>311.33333333333331</v>
      </c>
      <c r="K119" s="146">
        <f t="shared" si="62"/>
        <v>74.083333333333329</v>
      </c>
      <c r="L119" s="146">
        <f t="shared" si="62"/>
        <v>88.666666666666671</v>
      </c>
      <c r="M119" s="146">
        <f t="shared" si="62"/>
        <v>69.5</v>
      </c>
      <c r="N119" s="146">
        <f t="shared" si="62"/>
        <v>548.16666666666663</v>
      </c>
      <c r="O119" s="146">
        <f t="shared" si="62"/>
        <v>541.83333333333326</v>
      </c>
      <c r="P119" s="146">
        <f t="shared" si="62"/>
        <v>474.08333333333337</v>
      </c>
      <c r="Q119" s="146">
        <f t="shared" si="62"/>
        <v>1337.6666666666667</v>
      </c>
      <c r="R119" s="146">
        <f t="shared" si="62"/>
        <v>551.58333333333326</v>
      </c>
      <c r="S119" s="146">
        <f t="shared" si="62"/>
        <v>2905.166666666667</v>
      </c>
      <c r="T119" s="146">
        <f t="shared" si="62"/>
        <v>449.73333333333335</v>
      </c>
      <c r="U119" s="146">
        <f t="shared" si="62"/>
        <v>392.0333333333333</v>
      </c>
      <c r="V119" s="146">
        <f t="shared" si="62"/>
        <v>1217.0333333333333</v>
      </c>
      <c r="W119" s="146">
        <f t="shared" si="62"/>
        <v>483.05000000000007</v>
      </c>
      <c r="X119" s="146">
        <f t="shared" si="62"/>
        <v>2541.85</v>
      </c>
      <c r="Y119" s="146">
        <f t="shared" si="62"/>
        <v>451.73333333333329</v>
      </c>
      <c r="Z119" s="146">
        <f t="shared" si="62"/>
        <v>393.95</v>
      </c>
      <c r="AA119" s="146">
        <f t="shared" si="62"/>
        <v>1214.95</v>
      </c>
      <c r="AB119" s="146">
        <f t="shared" si="62"/>
        <v>474.96666666666664</v>
      </c>
      <c r="AC119" s="146">
        <f t="shared" si="62"/>
        <v>2535.6</v>
      </c>
      <c r="AD119" s="146">
        <f t="shared" si="62"/>
        <v>157384507.19999999</v>
      </c>
      <c r="AE119" s="146">
        <f t="shared" si="62"/>
        <v>10953792</v>
      </c>
      <c r="AF119" s="146">
        <f t="shared" si="62"/>
        <v>15213600</v>
      </c>
      <c r="AG119" s="146">
        <f t="shared" si="62"/>
        <v>6085440</v>
      </c>
      <c r="AH119" s="146">
        <f t="shared" si="62"/>
        <v>22313280.000000004</v>
      </c>
      <c r="AI119" s="146">
        <f t="shared" si="62"/>
        <v>2028480</v>
      </c>
      <c r="AJ119" s="146">
        <f t="shared" si="62"/>
        <v>900000</v>
      </c>
      <c r="AK119" s="146">
        <f t="shared" si="62"/>
        <v>2434176</v>
      </c>
      <c r="AL119" s="146">
        <f t="shared" si="62"/>
        <v>65299848.100000001</v>
      </c>
      <c r="AM119" s="146">
        <f t="shared" si="62"/>
        <v>282613123.30000001</v>
      </c>
      <c r="AN119" s="146">
        <f t="shared" si="62"/>
        <v>169567877</v>
      </c>
      <c r="AO119" s="146">
        <f t="shared" si="62"/>
        <v>20353.099999999999</v>
      </c>
      <c r="AP119" s="146">
        <f t="shared" si="62"/>
        <v>169588230.09999999</v>
      </c>
      <c r="AQ119" s="146">
        <f t="shared" si="62"/>
        <v>56522624</v>
      </c>
    </row>
    <row r="120" spans="1:43">
      <c r="AM120" s="145"/>
      <c r="AN120" s="145"/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Z80"/>
  <sheetViews>
    <sheetView topLeftCell="I19" workbookViewId="0">
      <selection activeCell="H28" sqref="H28"/>
    </sheetView>
  </sheetViews>
  <sheetFormatPr defaultColWidth="11.375" defaultRowHeight="11.25"/>
  <cols>
    <col min="1" max="1" width="5.375" style="115" customWidth="1"/>
    <col min="2" max="2" width="12.375" style="86" customWidth="1"/>
    <col min="3" max="3" width="7.125" style="86" customWidth="1"/>
    <col min="4" max="4" width="9.125" style="116" customWidth="1"/>
    <col min="5" max="23" width="12.625" style="86" customWidth="1"/>
    <col min="24" max="24" width="12.25" style="86" bestFit="1" customWidth="1"/>
    <col min="25" max="16384" width="11.375" style="86"/>
  </cols>
  <sheetData>
    <row r="1" spans="1:26" ht="25.5">
      <c r="A1" s="1124" t="s">
        <v>2521</v>
      </c>
      <c r="B1" s="1125"/>
      <c r="C1" s="1125"/>
      <c r="D1" s="1125"/>
      <c r="E1" s="1125"/>
      <c r="F1" s="1125"/>
      <c r="G1" s="1125"/>
      <c r="H1" s="1125"/>
      <c r="I1" s="1125"/>
      <c r="J1" s="1125"/>
      <c r="K1" s="1125"/>
      <c r="L1" s="1125"/>
      <c r="M1" s="1125"/>
      <c r="N1" s="1125"/>
      <c r="O1" s="1125"/>
      <c r="P1" s="1125"/>
      <c r="Q1" s="1125"/>
      <c r="R1" s="1125"/>
      <c r="S1" s="1125"/>
      <c r="T1" s="1125"/>
      <c r="U1" s="1125"/>
      <c r="V1" s="1125"/>
      <c r="W1" s="1125"/>
      <c r="X1" s="1125"/>
      <c r="Y1" s="1125"/>
      <c r="Z1" s="1126"/>
    </row>
    <row r="2" spans="1:26" ht="22.5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2396</v>
      </c>
      <c r="G2" s="88" t="s">
        <v>489</v>
      </c>
      <c r="H2" s="88" t="s">
        <v>2280</v>
      </c>
      <c r="I2" s="88" t="s">
        <v>2397</v>
      </c>
      <c r="J2" s="88" t="s">
        <v>490</v>
      </c>
      <c r="K2" s="88" t="s">
        <v>491</v>
      </c>
      <c r="L2" s="88" t="s">
        <v>1580</v>
      </c>
      <c r="M2" s="88" t="s">
        <v>492</v>
      </c>
      <c r="N2" s="88" t="s">
        <v>2398</v>
      </c>
      <c r="O2" s="88" t="s">
        <v>2399</v>
      </c>
      <c r="P2" s="88" t="s">
        <v>2400</v>
      </c>
      <c r="Q2" s="88" t="s">
        <v>2401</v>
      </c>
      <c r="R2" s="88" t="s">
        <v>2402</v>
      </c>
      <c r="S2" s="88" t="s">
        <v>2403</v>
      </c>
      <c r="T2" s="88" t="s">
        <v>2404</v>
      </c>
      <c r="U2" s="88" t="s">
        <v>2405</v>
      </c>
      <c r="V2" s="88" t="s">
        <v>2406</v>
      </c>
      <c r="W2" s="88" t="s">
        <v>2407</v>
      </c>
      <c r="X2" s="88" t="s">
        <v>24</v>
      </c>
      <c r="Y2" s="847" t="s">
        <v>2348</v>
      </c>
      <c r="Z2" s="847" t="s">
        <v>2349</v>
      </c>
    </row>
    <row r="3" spans="1:26" ht="20.100000000000001" customHeight="1">
      <c r="A3" s="90" t="s">
        <v>26</v>
      </c>
      <c r="B3" s="91" t="s">
        <v>27</v>
      </c>
      <c r="C3" s="91"/>
      <c r="D3" s="92" t="s">
        <v>28</v>
      </c>
      <c r="E3" s="19">
        <f t="shared" ref="E3:W3" si="0">E4+E31+E42</f>
        <v>38593481.5</v>
      </c>
      <c r="F3" s="19">
        <f t="shared" si="0"/>
        <v>38359440.909999996</v>
      </c>
      <c r="G3" s="19">
        <f t="shared" si="0"/>
        <v>31171002.350000001</v>
      </c>
      <c r="H3" s="19">
        <f>H4+H31+H42</f>
        <v>33372042.920000002</v>
      </c>
      <c r="I3" s="19">
        <f t="shared" si="0"/>
        <v>9294241.5</v>
      </c>
      <c r="J3" s="19">
        <f t="shared" si="0"/>
        <v>43968696.010000005</v>
      </c>
      <c r="K3" s="19">
        <f t="shared" si="0"/>
        <v>36290390.5</v>
      </c>
      <c r="L3" s="19">
        <f t="shared" si="0"/>
        <v>22227704.309999999</v>
      </c>
      <c r="M3" s="19">
        <f>M4+M31+M42</f>
        <v>39043331.770000003</v>
      </c>
      <c r="N3" s="19">
        <f>N4+N31+N42</f>
        <v>25875210.600000001</v>
      </c>
      <c r="O3" s="19">
        <f t="shared" si="0"/>
        <v>21892029.050000001</v>
      </c>
      <c r="P3" s="19">
        <f t="shared" si="0"/>
        <v>23718362.02</v>
      </c>
      <c r="Q3" s="19">
        <f>Q4+Q31+Q42</f>
        <v>20119002.369999997</v>
      </c>
      <c r="R3" s="19">
        <f t="shared" si="0"/>
        <v>6795691.4700000007</v>
      </c>
      <c r="S3" s="19">
        <f>S4+S31+S42</f>
        <v>8783888.7100000009</v>
      </c>
      <c r="T3" s="19">
        <f t="shared" si="0"/>
        <v>9642540.7599999998</v>
      </c>
      <c r="U3" s="19">
        <f t="shared" si="0"/>
        <v>14525616.59</v>
      </c>
      <c r="V3" s="19">
        <f t="shared" si="0"/>
        <v>14115040.73</v>
      </c>
      <c r="W3" s="19">
        <f t="shared" si="0"/>
        <v>2906932.2800000003</v>
      </c>
      <c r="X3" s="19">
        <f t="shared" ref="X3:X66" si="1">SUM(E3:W3)</f>
        <v>440694646.34999996</v>
      </c>
      <c r="Y3" s="848">
        <v>399611547.06</v>
      </c>
      <c r="Z3" s="104">
        <f>X3-Y3</f>
        <v>41083099.289999962</v>
      </c>
    </row>
    <row r="4" spans="1:26" ht="20.100000000000001" customHeight="1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E5+E8+E12+E15+E20+E25+E27+E29+E30</f>
        <v>32012922.499999996</v>
      </c>
      <c r="F4" s="19">
        <f t="shared" si="2"/>
        <v>31769840.769999996</v>
      </c>
      <c r="G4" s="19">
        <f t="shared" si="2"/>
        <v>26193113</v>
      </c>
      <c r="H4" s="19">
        <f>H5+H8+H12+H15+H20+H25+H27+H29+H30</f>
        <v>28171751.850000001</v>
      </c>
      <c r="I4" s="19">
        <f t="shared" si="2"/>
        <v>6481761</v>
      </c>
      <c r="J4" s="19">
        <f t="shared" si="2"/>
        <v>35119869.760000005</v>
      </c>
      <c r="K4" s="19">
        <f t="shared" si="2"/>
        <v>29189866.079999998</v>
      </c>
      <c r="L4" s="19">
        <f t="shared" si="2"/>
        <v>18365853.759999998</v>
      </c>
      <c r="M4" s="19">
        <f>M5+M8+M12+M15+M20+M25+M27+M29+M30</f>
        <v>33200130.310000002</v>
      </c>
      <c r="N4" s="19">
        <f>N5+N8+N12+N15+N20+N25+N27+N29+N30</f>
        <v>21699189.41</v>
      </c>
      <c r="O4" s="19">
        <f t="shared" si="2"/>
        <v>18806409.93</v>
      </c>
      <c r="P4" s="19">
        <f t="shared" si="2"/>
        <v>19769089.32</v>
      </c>
      <c r="Q4" s="19">
        <f>Q5+Q8+Q12+Q15+Q20+Q25+Q27+Q29+Q30</f>
        <v>17398247.859999999</v>
      </c>
      <c r="R4" s="19">
        <f t="shared" si="2"/>
        <v>5645894.4700000007</v>
      </c>
      <c r="S4" s="19">
        <f>S5+S8+S12+S15+S20+S25+S27+S29+S30</f>
        <v>7390870.7200000007</v>
      </c>
      <c r="T4" s="19">
        <f t="shared" si="2"/>
        <v>7459516.4699999997</v>
      </c>
      <c r="U4" s="19">
        <f t="shared" si="2"/>
        <v>12222103.58</v>
      </c>
      <c r="V4" s="19">
        <f t="shared" si="2"/>
        <v>11720544.440000001</v>
      </c>
      <c r="W4" s="19">
        <f t="shared" si="2"/>
        <v>2133227.85</v>
      </c>
      <c r="X4" s="19">
        <f t="shared" si="1"/>
        <v>364750203.08000004</v>
      </c>
      <c r="Y4" s="1121">
        <v>336111331.84000003</v>
      </c>
      <c r="Z4" s="1121">
        <f>X4-Y4</f>
        <v>28638871.24000001</v>
      </c>
    </row>
    <row r="5" spans="1:26" ht="20.100000000000001" customHeight="1">
      <c r="A5" s="90" t="s">
        <v>31</v>
      </c>
      <c r="B5" s="91" t="s">
        <v>32</v>
      </c>
      <c r="C5" s="91"/>
      <c r="D5" s="92" t="s">
        <v>28</v>
      </c>
      <c r="E5" s="19">
        <f t="shared" ref="E5:W5" si="3">E6+E7</f>
        <v>4321102</v>
      </c>
      <c r="F5" s="19">
        <f t="shared" si="3"/>
        <v>3985278</v>
      </c>
      <c r="G5" s="19">
        <f t="shared" si="3"/>
        <v>3582600</v>
      </c>
      <c r="H5" s="19">
        <f>H6+H7</f>
        <v>3199230</v>
      </c>
      <c r="I5" s="19">
        <f t="shared" si="3"/>
        <v>579353</v>
      </c>
      <c r="J5" s="19">
        <f t="shared" si="3"/>
        <v>4958412</v>
      </c>
      <c r="K5" s="19">
        <f t="shared" si="3"/>
        <v>3665491</v>
      </c>
      <c r="L5" s="19">
        <f t="shared" si="3"/>
        <v>1952510</v>
      </c>
      <c r="M5" s="19">
        <f>M6+M7</f>
        <v>3704176.5999999996</v>
      </c>
      <c r="N5" s="19">
        <f>N6+N7</f>
        <v>2341948</v>
      </c>
      <c r="O5" s="19">
        <f t="shared" si="3"/>
        <v>2395519.6</v>
      </c>
      <c r="P5" s="19">
        <f t="shared" si="3"/>
        <v>2487567.7000000002</v>
      </c>
      <c r="Q5" s="19">
        <f>Q6+Q7</f>
        <v>2062788.95</v>
      </c>
      <c r="R5" s="19">
        <f t="shared" si="3"/>
        <v>690230.3</v>
      </c>
      <c r="S5" s="19">
        <f>S6+S7</f>
        <v>924063</v>
      </c>
      <c r="T5" s="19">
        <f t="shared" si="3"/>
        <v>899609</v>
      </c>
      <c r="U5" s="19">
        <f t="shared" si="3"/>
        <v>1448508.3900000001</v>
      </c>
      <c r="V5" s="19">
        <f t="shared" si="3"/>
        <v>1345891.7999999998</v>
      </c>
      <c r="W5" s="19">
        <f t="shared" si="3"/>
        <v>306252</v>
      </c>
      <c r="X5" s="19">
        <f t="shared" si="1"/>
        <v>44850531.340000004</v>
      </c>
      <c r="Y5" s="1127"/>
      <c r="Z5" s="1127"/>
    </row>
    <row r="6" spans="1:26" ht="20.100000000000001" customHeight="1">
      <c r="A6" s="90" t="s">
        <v>33</v>
      </c>
      <c r="B6" s="91" t="s">
        <v>34</v>
      </c>
      <c r="C6" s="91" t="s">
        <v>35</v>
      </c>
      <c r="D6" s="92" t="s">
        <v>36</v>
      </c>
      <c r="E6" s="22">
        <f>1568986+766460</f>
        <v>2335446</v>
      </c>
      <c r="F6" s="22">
        <v>2227708</v>
      </c>
      <c r="G6" s="22">
        <v>2303100</v>
      </c>
      <c r="H6" s="22">
        <v>2046957</v>
      </c>
      <c r="I6" s="22">
        <v>463392</v>
      </c>
      <c r="J6" s="22">
        <v>2598620</v>
      </c>
      <c r="K6" s="22">
        <v>2081397</v>
      </c>
      <c r="L6" s="22">
        <v>1303084</v>
      </c>
      <c r="M6" s="22">
        <v>2369350</v>
      </c>
      <c r="N6" s="22">
        <v>1543325</v>
      </c>
      <c r="O6" s="22">
        <v>1476981.3</v>
      </c>
      <c r="P6" s="22">
        <v>1571405</v>
      </c>
      <c r="Q6" s="22">
        <v>1343304</v>
      </c>
      <c r="R6" s="22">
        <f>359356.8+36333*2+1892*2+1000</f>
        <v>436806.8</v>
      </c>
      <c r="S6" s="22">
        <v>580888</v>
      </c>
      <c r="T6" s="22">
        <v>597360</v>
      </c>
      <c r="U6" s="22">
        <f>933592+13915.39</f>
        <v>947507.39</v>
      </c>
      <c r="V6" s="22">
        <v>881663.2</v>
      </c>
      <c r="W6" s="22">
        <v>151812</v>
      </c>
      <c r="X6" s="19">
        <f t="shared" si="1"/>
        <v>27260106.690000001</v>
      </c>
      <c r="Y6" s="1127"/>
      <c r="Z6" s="1127"/>
    </row>
    <row r="7" spans="1:26" ht="20.100000000000001" customHeight="1">
      <c r="A7" s="90" t="s">
        <v>37</v>
      </c>
      <c r="B7" s="91" t="s">
        <v>38</v>
      </c>
      <c r="C7" s="91" t="s">
        <v>35</v>
      </c>
      <c r="D7" s="92" t="s">
        <v>36</v>
      </c>
      <c r="E7" s="22">
        <f>1338244+647412</f>
        <v>1985656</v>
      </c>
      <c r="F7" s="22">
        <v>1757570</v>
      </c>
      <c r="G7" s="22">
        <v>1279500</v>
      </c>
      <c r="H7" s="22">
        <v>1152273</v>
      </c>
      <c r="I7" s="22">
        <v>115961</v>
      </c>
      <c r="J7" s="22">
        <v>2359792</v>
      </c>
      <c r="K7" s="22">
        <v>1584094</v>
      </c>
      <c r="L7" s="22">
        <v>649426</v>
      </c>
      <c r="M7" s="22">
        <v>1334826.5999999996</v>
      </c>
      <c r="N7" s="22">
        <v>798623</v>
      </c>
      <c r="O7" s="22">
        <v>918538.3</v>
      </c>
      <c r="P7" s="22">
        <v>916162.7</v>
      </c>
      <c r="Q7" s="22">
        <v>719484.95</v>
      </c>
      <c r="R7" s="22">
        <f>209005.5+20924*2+785*2+1000</f>
        <v>253423.5</v>
      </c>
      <c r="S7" s="22">
        <v>343175</v>
      </c>
      <c r="T7" s="22">
        <v>302249</v>
      </c>
      <c r="U7" s="22">
        <v>501001</v>
      </c>
      <c r="V7" s="22">
        <v>464228.6</v>
      </c>
      <c r="W7" s="22">
        <v>154440</v>
      </c>
      <c r="X7" s="19">
        <f t="shared" si="1"/>
        <v>17590424.649999999</v>
      </c>
      <c r="Y7" s="1127"/>
      <c r="Z7" s="1127"/>
    </row>
    <row r="8" spans="1:26" ht="20.100000000000001" customHeight="1">
      <c r="A8" s="90" t="s">
        <v>39</v>
      </c>
      <c r="B8" s="91" t="s">
        <v>40</v>
      </c>
      <c r="C8" s="91"/>
      <c r="D8" s="92" t="s">
        <v>28</v>
      </c>
      <c r="E8" s="19">
        <f t="shared" ref="E8:W8" si="4">E9+E10</f>
        <v>452825</v>
      </c>
      <c r="F8" s="19">
        <f t="shared" si="4"/>
        <v>437565</v>
      </c>
      <c r="G8" s="19">
        <f t="shared" si="4"/>
        <v>377820</v>
      </c>
      <c r="H8" s="19">
        <f>H9+H10</f>
        <v>405722</v>
      </c>
      <c r="I8" s="19">
        <f t="shared" si="4"/>
        <v>85358</v>
      </c>
      <c r="J8" s="19">
        <f t="shared" si="4"/>
        <v>528372</v>
      </c>
      <c r="K8" s="19">
        <f t="shared" si="4"/>
        <v>421177</v>
      </c>
      <c r="L8" s="19">
        <f t="shared" si="4"/>
        <v>270527</v>
      </c>
      <c r="M8" s="19">
        <f>M9+M10</f>
        <v>495656</v>
      </c>
      <c r="N8" s="19">
        <f>N9+N10</f>
        <v>330655</v>
      </c>
      <c r="O8" s="19">
        <f t="shared" si="4"/>
        <v>301807</v>
      </c>
      <c r="P8" s="19">
        <f t="shared" si="4"/>
        <v>319413</v>
      </c>
      <c r="Q8" s="19">
        <f>Q9+Q10</f>
        <v>282833</v>
      </c>
      <c r="R8" s="19">
        <f t="shared" si="4"/>
        <v>88244</v>
      </c>
      <c r="S8" s="19">
        <f>S9+S10</f>
        <v>122704</v>
      </c>
      <c r="T8" s="19">
        <f t="shared" si="4"/>
        <v>138788.97</v>
      </c>
      <c r="U8" s="19">
        <f t="shared" si="4"/>
        <v>198255</v>
      </c>
      <c r="V8" s="19">
        <f t="shared" si="4"/>
        <v>181600</v>
      </c>
      <c r="W8" s="19">
        <f t="shared" si="4"/>
        <v>31956</v>
      </c>
      <c r="X8" s="19">
        <f t="shared" si="1"/>
        <v>5471277.9699999997</v>
      </c>
      <c r="Y8" s="1127"/>
      <c r="Z8" s="1127"/>
    </row>
    <row r="9" spans="1:26" ht="20.100000000000001" customHeight="1">
      <c r="A9" s="90" t="s">
        <v>41</v>
      </c>
      <c r="B9" s="91" t="s">
        <v>42</v>
      </c>
      <c r="C9" s="91" t="s">
        <v>35</v>
      </c>
      <c r="D9" s="92" t="s">
        <v>36</v>
      </c>
      <c r="E9" s="22">
        <f>4193+2032</f>
        <v>6225</v>
      </c>
      <c r="F9" s="22">
        <f>4022+3*443</f>
        <v>5351</v>
      </c>
      <c r="G9" s="22">
        <v>2500</v>
      </c>
      <c r="H9" s="22">
        <v>3122</v>
      </c>
      <c r="I9" s="22">
        <v>438</v>
      </c>
      <c r="J9" s="22">
        <v>16212</v>
      </c>
      <c r="K9" s="22">
        <v>4497</v>
      </c>
      <c r="L9" s="22">
        <v>5487</v>
      </c>
      <c r="M9" s="22">
        <v>20016</v>
      </c>
      <c r="N9" s="22">
        <v>1975</v>
      </c>
      <c r="O9" s="22">
        <v>3059</v>
      </c>
      <c r="P9" s="22">
        <v>3493</v>
      </c>
      <c r="Q9" s="22">
        <v>2233</v>
      </c>
      <c r="R9" s="22">
        <f>570+57*2</f>
        <v>684</v>
      </c>
      <c r="S9" s="22">
        <v>1264</v>
      </c>
      <c r="T9" s="22">
        <v>15018.4</v>
      </c>
      <c r="U9" s="22">
        <v>1575</v>
      </c>
      <c r="V9" s="22">
        <v>1640</v>
      </c>
      <c r="W9" s="22">
        <v>276</v>
      </c>
      <c r="X9" s="19">
        <f t="shared" si="1"/>
        <v>95065.4</v>
      </c>
      <c r="Y9" s="1127"/>
      <c r="Z9" s="1127"/>
    </row>
    <row r="10" spans="1:26" ht="20.100000000000001" customHeight="1">
      <c r="A10" s="90" t="s">
        <v>43</v>
      </c>
      <c r="B10" s="91" t="s">
        <v>44</v>
      </c>
      <c r="C10" s="91"/>
      <c r="D10" s="92" t="s">
        <v>28</v>
      </c>
      <c r="E10" s="19">
        <f t="shared" ref="E10:W10" si="5">E11</f>
        <v>446600</v>
      </c>
      <c r="F10" s="19">
        <f t="shared" si="5"/>
        <v>432214</v>
      </c>
      <c r="G10" s="19">
        <f t="shared" si="5"/>
        <v>375320</v>
      </c>
      <c r="H10" s="19">
        <f>H11</f>
        <v>402600</v>
      </c>
      <c r="I10" s="19">
        <f t="shared" si="5"/>
        <v>84920</v>
      </c>
      <c r="J10" s="19">
        <f t="shared" si="5"/>
        <v>512160</v>
      </c>
      <c r="K10" s="19">
        <f t="shared" si="5"/>
        <v>416680</v>
      </c>
      <c r="L10" s="19">
        <f t="shared" si="5"/>
        <v>265040</v>
      </c>
      <c r="M10" s="19">
        <f>M11</f>
        <v>475640</v>
      </c>
      <c r="N10" s="19">
        <f>N11</f>
        <v>328680</v>
      </c>
      <c r="O10" s="19">
        <f t="shared" si="5"/>
        <v>298748</v>
      </c>
      <c r="P10" s="19">
        <f t="shared" si="5"/>
        <v>315920</v>
      </c>
      <c r="Q10" s="19">
        <f>Q11</f>
        <v>280600</v>
      </c>
      <c r="R10" s="19">
        <f t="shared" si="5"/>
        <v>87560</v>
      </c>
      <c r="S10" s="19">
        <f>S11</f>
        <v>121440</v>
      </c>
      <c r="T10" s="19">
        <f t="shared" si="5"/>
        <v>123770.57</v>
      </c>
      <c r="U10" s="19">
        <f t="shared" si="5"/>
        <v>196680</v>
      </c>
      <c r="V10" s="19">
        <f t="shared" si="5"/>
        <v>179960</v>
      </c>
      <c r="W10" s="19">
        <f t="shared" si="5"/>
        <v>31680</v>
      </c>
      <c r="X10" s="19">
        <f t="shared" si="1"/>
        <v>5376212.5700000003</v>
      </c>
      <c r="Y10" s="1127"/>
      <c r="Z10" s="1127"/>
    </row>
    <row r="11" spans="1:26" s="96" customFormat="1" ht="20.100000000000001" customHeight="1">
      <c r="A11" s="90" t="s">
        <v>45</v>
      </c>
      <c r="B11" s="95" t="s">
        <v>2350</v>
      </c>
      <c r="C11" s="95" t="s">
        <v>35</v>
      </c>
      <c r="D11" s="92" t="s">
        <v>36</v>
      </c>
      <c r="E11" s="22">
        <f>298760+147840</f>
        <v>446600</v>
      </c>
      <c r="F11" s="22">
        <f>320454+3*36960+880</f>
        <v>432214</v>
      </c>
      <c r="G11" s="22">
        <v>375320</v>
      </c>
      <c r="H11" s="22">
        <v>402600</v>
      </c>
      <c r="I11" s="22">
        <v>84920</v>
      </c>
      <c r="J11" s="22">
        <v>512160</v>
      </c>
      <c r="K11" s="22">
        <v>416680</v>
      </c>
      <c r="L11" s="22">
        <v>265040</v>
      </c>
      <c r="M11" s="22">
        <v>475640</v>
      </c>
      <c r="N11" s="22">
        <f>61*440*6+62*440+63*440+64*440*4</f>
        <v>328680</v>
      </c>
      <c r="O11" s="22">
        <v>298748</v>
      </c>
      <c r="P11" s="22">
        <v>315920</v>
      </c>
      <c r="Q11" s="22">
        <v>280600</v>
      </c>
      <c r="R11" s="22">
        <f>71720+7480*2+440*2</f>
        <v>87560</v>
      </c>
      <c r="S11" s="22">
        <v>121440</v>
      </c>
      <c r="T11" s="22">
        <v>123770.57</v>
      </c>
      <c r="U11" s="22">
        <v>196680</v>
      </c>
      <c r="V11" s="22">
        <v>179960</v>
      </c>
      <c r="W11" s="22">
        <v>31680</v>
      </c>
      <c r="X11" s="19">
        <f t="shared" si="1"/>
        <v>5376212.5700000003</v>
      </c>
      <c r="Y11" s="1127"/>
      <c r="Z11" s="1127"/>
    </row>
    <row r="12" spans="1:26" ht="20.100000000000001" customHeight="1">
      <c r="A12" s="90" t="s">
        <v>47</v>
      </c>
      <c r="B12" s="91" t="s">
        <v>48</v>
      </c>
      <c r="C12" s="91"/>
      <c r="D12" s="92" t="s">
        <v>49</v>
      </c>
      <c r="E12" s="19">
        <f t="shared" ref="E12:W12" si="6">E13+E14</f>
        <v>137272.87999999998</v>
      </c>
      <c r="F12" s="19">
        <f t="shared" si="6"/>
        <v>133485.97</v>
      </c>
      <c r="G12" s="19">
        <f t="shared" si="6"/>
        <v>104000</v>
      </c>
      <c r="H12" s="19">
        <f>H13+H14</f>
        <v>127400.20000000001</v>
      </c>
      <c r="I12" s="19">
        <f t="shared" si="6"/>
        <v>33560</v>
      </c>
      <c r="J12" s="19">
        <f t="shared" si="6"/>
        <v>146414.66999999998</v>
      </c>
      <c r="K12" s="19">
        <f t="shared" si="6"/>
        <v>117180.95000000001</v>
      </c>
      <c r="L12" s="19">
        <f t="shared" si="6"/>
        <v>75266.45</v>
      </c>
      <c r="M12" s="19">
        <f>M13+M14</f>
        <v>129741.81</v>
      </c>
      <c r="N12" s="19">
        <f>N13+N14</f>
        <v>101853.28000000001</v>
      </c>
      <c r="O12" s="19">
        <f t="shared" si="6"/>
        <v>86219.69</v>
      </c>
      <c r="P12" s="19">
        <f t="shared" si="6"/>
        <v>96463.23</v>
      </c>
      <c r="Q12" s="19">
        <f>Q13+Q14</f>
        <v>88435.790000000008</v>
      </c>
      <c r="R12" s="19">
        <f t="shared" si="6"/>
        <v>25151.94</v>
      </c>
      <c r="S12" s="19">
        <f>S13+S14</f>
        <v>30542.7</v>
      </c>
      <c r="T12" s="19">
        <f t="shared" si="6"/>
        <v>34421.9</v>
      </c>
      <c r="U12" s="19">
        <f t="shared" si="6"/>
        <v>62429.270000000004</v>
      </c>
      <c r="V12" s="19">
        <f t="shared" si="6"/>
        <v>55803.710000000006</v>
      </c>
      <c r="W12" s="19">
        <f t="shared" si="6"/>
        <v>9013.39</v>
      </c>
      <c r="X12" s="19">
        <f t="shared" si="1"/>
        <v>1594657.8299999996</v>
      </c>
      <c r="Y12" s="1127"/>
      <c r="Z12" s="1127"/>
    </row>
    <row r="13" spans="1:26" s="96" customFormat="1" ht="20.100000000000001" customHeight="1">
      <c r="A13" s="90" t="s">
        <v>50</v>
      </c>
      <c r="B13" s="95" t="s">
        <v>2351</v>
      </c>
      <c r="C13" s="95" t="s">
        <v>35</v>
      </c>
      <c r="D13" s="92" t="s">
        <v>2352</v>
      </c>
      <c r="E13" s="22">
        <f>21710.48+11567.48</f>
        <v>33277.96</v>
      </c>
      <c r="F13" s="22">
        <f>20576.44+2902*4+300</f>
        <v>32484.44</v>
      </c>
      <c r="G13" s="22">
        <v>35000</v>
      </c>
      <c r="H13" s="22">
        <v>43140.62</v>
      </c>
      <c r="I13" s="22">
        <v>11780</v>
      </c>
      <c r="J13" s="22">
        <v>49578.95</v>
      </c>
      <c r="K13" s="22">
        <v>28406.959999999999</v>
      </c>
      <c r="L13" s="22">
        <v>19307.34</v>
      </c>
      <c r="M13" s="22">
        <v>31907.550000000003</v>
      </c>
      <c r="N13" s="22">
        <f>20865.02+2966.75*4+200*6</f>
        <v>33932.020000000004</v>
      </c>
      <c r="O13" s="22">
        <v>26865.82</v>
      </c>
      <c r="P13" s="22">
        <v>32664.41</v>
      </c>
      <c r="Q13" s="22">
        <v>34822.28</v>
      </c>
      <c r="R13" s="22">
        <f>5813.78+546.15*3</f>
        <v>7452.23</v>
      </c>
      <c r="S13" s="22">
        <v>7404.23</v>
      </c>
      <c r="T13" s="22">
        <v>11517.4</v>
      </c>
      <c r="U13" s="22">
        <v>24502.06</v>
      </c>
      <c r="V13" s="22">
        <v>18896.310000000001</v>
      </c>
      <c r="W13" s="22">
        <v>2185.16</v>
      </c>
      <c r="X13" s="19">
        <f t="shared" si="1"/>
        <v>485125.73999999993</v>
      </c>
      <c r="Y13" s="1127"/>
      <c r="Z13" s="1127"/>
    </row>
    <row r="14" spans="1:26" s="96" customFormat="1" ht="20.100000000000001" customHeight="1">
      <c r="A14" s="90" t="s">
        <v>52</v>
      </c>
      <c r="B14" s="95" t="s">
        <v>2353</v>
      </c>
      <c r="C14" s="95" t="s">
        <v>35</v>
      </c>
      <c r="D14" s="92" t="s">
        <v>2352</v>
      </c>
      <c r="E14" s="22">
        <f>67845.68+36149.24</f>
        <v>103994.91999999998</v>
      </c>
      <c r="F14" s="22">
        <f>64301.53+9100*4+300</f>
        <v>101001.53</v>
      </c>
      <c r="G14" s="22">
        <v>69000</v>
      </c>
      <c r="H14" s="22">
        <v>84259.58</v>
      </c>
      <c r="I14" s="22">
        <v>21780</v>
      </c>
      <c r="J14" s="22">
        <v>96835.72</v>
      </c>
      <c r="K14" s="22">
        <v>88773.99</v>
      </c>
      <c r="L14" s="22">
        <v>55959.11</v>
      </c>
      <c r="M14" s="22">
        <v>97834.26</v>
      </c>
      <c r="N14" s="22">
        <f>40752.08+5794.54*4+665.17*6</f>
        <v>67921.260000000009</v>
      </c>
      <c r="O14" s="22">
        <v>59353.87</v>
      </c>
      <c r="P14" s="22">
        <v>63798.82</v>
      </c>
      <c r="Q14" s="22">
        <v>53613.51</v>
      </c>
      <c r="R14" s="22">
        <f>12579.79+1706.64*3</f>
        <v>17699.71</v>
      </c>
      <c r="S14" s="22">
        <v>23138.47</v>
      </c>
      <c r="T14" s="22">
        <v>22904.5</v>
      </c>
      <c r="U14" s="22">
        <v>37927.21</v>
      </c>
      <c r="V14" s="22">
        <v>36907.4</v>
      </c>
      <c r="W14" s="22">
        <v>6828.23</v>
      </c>
      <c r="X14" s="19">
        <f t="shared" si="1"/>
        <v>1109532.0899999999</v>
      </c>
      <c r="Y14" s="1127"/>
      <c r="Z14" s="1127"/>
    </row>
    <row r="15" spans="1:26" ht="20.100000000000001" customHeight="1">
      <c r="A15" s="90" t="s">
        <v>53</v>
      </c>
      <c r="B15" s="91" t="s">
        <v>55</v>
      </c>
      <c r="C15" s="91"/>
      <c r="D15" s="92" t="s">
        <v>28</v>
      </c>
      <c r="E15" s="19">
        <f>E16+E17+E18+E19</f>
        <v>18366955</v>
      </c>
      <c r="F15" s="19">
        <f t="shared" ref="F15:W15" si="7">F16+F17+F18+F19</f>
        <v>18739048</v>
      </c>
      <c r="G15" s="19">
        <f t="shared" si="7"/>
        <v>16379060</v>
      </c>
      <c r="H15" s="19">
        <f>H16+H17+H18+H19</f>
        <v>17355737</v>
      </c>
      <c r="I15" s="19">
        <f t="shared" si="7"/>
        <v>3908910</v>
      </c>
      <c r="J15" s="19">
        <f t="shared" si="7"/>
        <v>21296066</v>
      </c>
      <c r="K15" s="19">
        <f t="shared" si="7"/>
        <v>17478458</v>
      </c>
      <c r="L15" s="19">
        <f t="shared" si="7"/>
        <v>11405095</v>
      </c>
      <c r="M15" s="19">
        <f>M16+M17+M18+M19</f>
        <v>20423040</v>
      </c>
      <c r="N15" s="19">
        <f>N16+N17+N18+N19</f>
        <v>13383702</v>
      </c>
      <c r="O15" s="19">
        <f t="shared" si="7"/>
        <v>11021740</v>
      </c>
      <c r="P15" s="19">
        <f t="shared" si="7"/>
        <v>11492815</v>
      </c>
      <c r="Q15" s="19">
        <f>Q16+Q17+Q18+Q19</f>
        <v>10448150</v>
      </c>
      <c r="R15" s="19">
        <f t="shared" si="7"/>
        <v>3325025</v>
      </c>
      <c r="S15" s="19">
        <f>S16+S17+S18+S19</f>
        <v>4370690</v>
      </c>
      <c r="T15" s="19">
        <f t="shared" si="7"/>
        <v>4466205</v>
      </c>
      <c r="U15" s="19">
        <f t="shared" si="7"/>
        <v>7315155</v>
      </c>
      <c r="V15" s="19">
        <f>V16+V17+V18+V19</f>
        <v>7031110</v>
      </c>
      <c r="W15" s="19">
        <f t="shared" si="7"/>
        <v>1206780</v>
      </c>
      <c r="X15" s="19">
        <f t="shared" si="1"/>
        <v>219413741</v>
      </c>
      <c r="Y15" s="1127"/>
      <c r="Z15" s="1127"/>
    </row>
    <row r="16" spans="1:26" ht="20.100000000000001" customHeight="1">
      <c r="A16" s="90" t="s">
        <v>54</v>
      </c>
      <c r="B16" s="97" t="s">
        <v>57</v>
      </c>
      <c r="C16" s="97" t="s">
        <v>35</v>
      </c>
      <c r="D16" s="98" t="s">
        <v>2354</v>
      </c>
      <c r="E16" s="99">
        <v>16272974</v>
      </c>
      <c r="F16" s="99">
        <v>16590728</v>
      </c>
      <c r="G16" s="99">
        <v>14265800</v>
      </c>
      <c r="H16" s="99">
        <v>15298183</v>
      </c>
      <c r="I16" s="99">
        <v>3238362</v>
      </c>
      <c r="J16" s="99">
        <v>19227137</v>
      </c>
      <c r="K16" s="99">
        <v>15782284</v>
      </c>
      <c r="L16" s="99">
        <v>10023667</v>
      </c>
      <c r="M16" s="99">
        <v>17839561</v>
      </c>
      <c r="N16" s="99">
        <v>12278437</v>
      </c>
      <c r="O16" s="99">
        <v>10400912</v>
      </c>
      <c r="P16" s="99">
        <v>10870899</v>
      </c>
      <c r="Q16" s="99">
        <v>9820590</v>
      </c>
      <c r="R16" s="99">
        <v>2987609</v>
      </c>
      <c r="S16" s="99">
        <v>3993118</v>
      </c>
      <c r="T16" s="99">
        <v>4087229</v>
      </c>
      <c r="U16" s="99">
        <v>6851751</v>
      </c>
      <c r="V16" s="99">
        <v>6553046</v>
      </c>
      <c r="W16" s="99">
        <v>1170780</v>
      </c>
      <c r="X16" s="19">
        <f t="shared" si="1"/>
        <v>197553067</v>
      </c>
      <c r="Y16" s="1127"/>
      <c r="Z16" s="1127"/>
    </row>
    <row r="17" spans="1:26" ht="20.100000000000001" customHeight="1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487981</v>
      </c>
      <c r="F17" s="99">
        <v>270592</v>
      </c>
      <c r="G17" s="99">
        <v>186760</v>
      </c>
      <c r="H17" s="99">
        <f>184928+73464</f>
        <v>258392</v>
      </c>
      <c r="I17" s="99">
        <v>174048</v>
      </c>
      <c r="J17" s="99">
        <v>544768</v>
      </c>
      <c r="K17" s="99">
        <v>276116</v>
      </c>
      <c r="L17" s="99">
        <v>313928</v>
      </c>
      <c r="M17" s="99">
        <v>326504</v>
      </c>
      <c r="N17" s="99">
        <v>267188</v>
      </c>
      <c r="O17" s="99">
        <v>272828</v>
      </c>
      <c r="P17" s="99">
        <v>262916</v>
      </c>
      <c r="Q17" s="99">
        <v>301060</v>
      </c>
      <c r="R17" s="99">
        <v>232916</v>
      </c>
      <c r="S17" s="99">
        <v>239572</v>
      </c>
      <c r="T17" s="99">
        <v>237476</v>
      </c>
      <c r="U17" s="99">
        <v>233404</v>
      </c>
      <c r="V17" s="99">
        <v>256064</v>
      </c>
      <c r="W17" s="99"/>
      <c r="X17" s="19">
        <f t="shared" si="1"/>
        <v>5142513</v>
      </c>
      <c r="Y17" s="1127"/>
      <c r="Z17" s="1127"/>
    </row>
    <row r="18" spans="1:26" ht="20.100000000000001" customHeight="1">
      <c r="A18" s="90" t="s">
        <v>59</v>
      </c>
      <c r="B18" s="97" t="s">
        <v>2355</v>
      </c>
      <c r="C18" s="97" t="s">
        <v>35</v>
      </c>
      <c r="D18" s="92" t="s">
        <v>36</v>
      </c>
      <c r="E18" s="99">
        <f>255000+251000</f>
        <v>506000</v>
      </c>
      <c r="F18" s="99">
        <f>1003*500</f>
        <v>501500</v>
      </c>
      <c r="G18" s="99">
        <v>426500</v>
      </c>
      <c r="H18" s="99">
        <v>457482</v>
      </c>
      <c r="I18" s="99">
        <v>96500</v>
      </c>
      <c r="J18" s="99">
        <v>582000</v>
      </c>
      <c r="K18" s="99">
        <v>480000</v>
      </c>
      <c r="L18" s="99">
        <v>307500</v>
      </c>
      <c r="M18" s="99">
        <f>92*6000</f>
        <v>552000</v>
      </c>
      <c r="N18" s="99">
        <v>374000</v>
      </c>
      <c r="O18" s="99">
        <v>348000</v>
      </c>
      <c r="P18" s="99">
        <v>359000</v>
      </c>
      <c r="Q18" s="99">
        <f>653*500</f>
        <v>326500</v>
      </c>
      <c r="R18" s="99">
        <v>104500</v>
      </c>
      <c r="S18" s="99">
        <v>138000</v>
      </c>
      <c r="T18" s="99">
        <v>141500</v>
      </c>
      <c r="U18" s="99">
        <v>230000</v>
      </c>
      <c r="V18" s="99">
        <v>222000</v>
      </c>
      <c r="W18" s="99">
        <v>36000</v>
      </c>
      <c r="X18" s="19">
        <f t="shared" si="1"/>
        <v>6188982</v>
      </c>
      <c r="Y18" s="1127"/>
      <c r="Z18" s="1127"/>
    </row>
    <row r="19" spans="1:26" ht="20.100000000000001" customHeight="1">
      <c r="A19" s="90" t="s">
        <v>62</v>
      </c>
      <c r="B19" s="97" t="s">
        <v>2356</v>
      </c>
      <c r="C19" s="97" t="s">
        <v>35</v>
      </c>
      <c r="D19" s="92" t="s">
        <v>36</v>
      </c>
      <c r="E19" s="99">
        <v>1100000</v>
      </c>
      <c r="F19" s="99">
        <v>1376228</v>
      </c>
      <c r="G19" s="99">
        <v>1500000</v>
      </c>
      <c r="H19" s="99">
        <v>1341680</v>
      </c>
      <c r="I19" s="99">
        <v>400000</v>
      </c>
      <c r="J19" s="99">
        <v>942161</v>
      </c>
      <c r="K19" s="99">
        <v>940058</v>
      </c>
      <c r="L19" s="99">
        <v>760000</v>
      </c>
      <c r="M19" s="99">
        <v>1704975</v>
      </c>
      <c r="N19" s="99">
        <f>116737+57890*6</f>
        <v>464077</v>
      </c>
      <c r="O19" s="99"/>
      <c r="P19" s="99"/>
      <c r="Q19" s="99"/>
      <c r="R19" s="99">
        <v>0</v>
      </c>
      <c r="S19" s="99"/>
      <c r="T19" s="99"/>
      <c r="U19" s="99"/>
      <c r="V19" s="99"/>
      <c r="W19" s="99"/>
      <c r="X19" s="19">
        <f t="shared" si="1"/>
        <v>10529179</v>
      </c>
      <c r="Y19" s="1127"/>
      <c r="Z19" s="1127"/>
    </row>
    <row r="20" spans="1:26" ht="20.100000000000001" customHeight="1">
      <c r="A20" s="90" t="s">
        <v>64</v>
      </c>
      <c r="B20" s="91" t="s">
        <v>63</v>
      </c>
      <c r="C20" s="91"/>
      <c r="D20" s="98" t="s">
        <v>28</v>
      </c>
      <c r="E20" s="100">
        <f t="shared" ref="E20:W20" si="8">E21+E22</f>
        <v>2245717.7199999997</v>
      </c>
      <c r="F20" s="100">
        <f t="shared" si="8"/>
        <v>2188550.7199999997</v>
      </c>
      <c r="G20" s="100">
        <f t="shared" si="8"/>
        <v>1460000</v>
      </c>
      <c r="H20" s="100">
        <f>H21+H22</f>
        <v>1807263.8</v>
      </c>
      <c r="I20" s="100">
        <f t="shared" si="8"/>
        <v>522720</v>
      </c>
      <c r="J20" s="100">
        <f t="shared" si="8"/>
        <v>2135922.48</v>
      </c>
      <c r="K20" s="100">
        <f t="shared" si="8"/>
        <v>1947046.89</v>
      </c>
      <c r="L20" s="100">
        <f t="shared" si="8"/>
        <v>1193558.3199999998</v>
      </c>
      <c r="M20" s="100">
        <f>M21+M22</f>
        <v>2369558</v>
      </c>
      <c r="N20" s="100">
        <f>N21+N22</f>
        <v>1427241.27</v>
      </c>
      <c r="O20" s="100">
        <f t="shared" si="8"/>
        <v>1292351.02</v>
      </c>
      <c r="P20" s="99">
        <f t="shared" si="8"/>
        <v>1383299.05</v>
      </c>
      <c r="Q20" s="100">
        <f>Q21+Q22</f>
        <v>1161170.3799999999</v>
      </c>
      <c r="R20" s="100">
        <f t="shared" si="8"/>
        <v>410094.15</v>
      </c>
      <c r="S20" s="100">
        <f>S21+S22</f>
        <v>500709.86</v>
      </c>
      <c r="T20" s="100">
        <f t="shared" si="8"/>
        <v>524623.88</v>
      </c>
      <c r="U20" s="100">
        <f t="shared" si="8"/>
        <v>821226.26</v>
      </c>
      <c r="V20" s="100">
        <f t="shared" si="8"/>
        <v>797535.01</v>
      </c>
      <c r="W20" s="100">
        <f t="shared" si="8"/>
        <v>153659.46</v>
      </c>
      <c r="X20" s="19">
        <f t="shared" si="1"/>
        <v>24342248.27</v>
      </c>
      <c r="Y20" s="1127"/>
      <c r="Z20" s="1127"/>
    </row>
    <row r="21" spans="1:26" ht="20.100000000000001" customHeight="1">
      <c r="A21" s="90" t="s">
        <v>67</v>
      </c>
      <c r="B21" s="91" t="s">
        <v>2357</v>
      </c>
      <c r="C21" s="91" t="s">
        <v>66</v>
      </c>
      <c r="D21" s="92" t="s">
        <v>2352</v>
      </c>
      <c r="E21" s="99">
        <f>1356898.4+722969.32</f>
        <v>2079867.7199999997</v>
      </c>
      <c r="F21" s="99">
        <f>1453230.72+154130*4+27200*4-167220+3000</f>
        <v>2014330.7199999997</v>
      </c>
      <c r="G21" s="99">
        <v>1371800</v>
      </c>
      <c r="H21" s="99">
        <v>1685163.8</v>
      </c>
      <c r="I21" s="99">
        <v>435600</v>
      </c>
      <c r="J21" s="99">
        <v>1936682.48</v>
      </c>
      <c r="K21" s="99">
        <v>1775446.89</v>
      </c>
      <c r="L21" s="99">
        <v>1113398.3199999998</v>
      </c>
      <c r="M21" s="99">
        <v>2218808</v>
      </c>
      <c r="N21" s="99">
        <f>915681.47+115889.95*4+2000*4*6-101870-10980</f>
        <v>1314391.27</v>
      </c>
      <c r="O21" s="99">
        <v>1187051.02</v>
      </c>
      <c r="P21" s="99">
        <v>1275949.05</v>
      </c>
      <c r="Q21" s="99">
        <v>1072250.3799999999</v>
      </c>
      <c r="R21" s="99">
        <f>279645.33+34132.94*3</f>
        <v>382044.15</v>
      </c>
      <c r="S21" s="99">
        <v>462759.86</v>
      </c>
      <c r="T21" s="99">
        <v>486673.88</v>
      </c>
      <c r="U21" s="99">
        <v>758526.26</v>
      </c>
      <c r="V21" s="99">
        <v>738135.01</v>
      </c>
      <c r="W21" s="99">
        <v>136559.46</v>
      </c>
      <c r="X21" s="19">
        <f t="shared" si="1"/>
        <v>22445438.27</v>
      </c>
      <c r="Y21" s="1127"/>
      <c r="Z21" s="1127"/>
    </row>
    <row r="22" spans="1:26" ht="20.100000000000001" customHeight="1">
      <c r="A22" s="90" t="s">
        <v>69</v>
      </c>
      <c r="B22" s="91" t="s">
        <v>2358</v>
      </c>
      <c r="C22" s="91"/>
      <c r="D22" s="98" t="s">
        <v>51</v>
      </c>
      <c r="E22" s="100">
        <f t="shared" ref="E22:W22" si="9">E23+E24</f>
        <v>165850</v>
      </c>
      <c r="F22" s="100">
        <f t="shared" si="9"/>
        <v>174220</v>
      </c>
      <c r="G22" s="100">
        <f t="shared" si="9"/>
        <v>88200</v>
      </c>
      <c r="H22" s="100">
        <f>H23+H24</f>
        <v>122100</v>
      </c>
      <c r="I22" s="100">
        <f t="shared" si="9"/>
        <v>87120</v>
      </c>
      <c r="J22" s="100">
        <f t="shared" si="9"/>
        <v>199240</v>
      </c>
      <c r="K22" s="100">
        <f t="shared" si="9"/>
        <v>171600</v>
      </c>
      <c r="L22" s="100">
        <f t="shared" si="9"/>
        <v>80160</v>
      </c>
      <c r="M22" s="100">
        <f>M23+M24</f>
        <v>150750</v>
      </c>
      <c r="N22" s="100">
        <f>N23+N24</f>
        <v>112850</v>
      </c>
      <c r="O22" s="100">
        <f t="shared" si="9"/>
        <v>105300</v>
      </c>
      <c r="P22" s="99">
        <f>P23+P24</f>
        <v>107350</v>
      </c>
      <c r="Q22" s="100">
        <f>Q23+Q24</f>
        <v>88920</v>
      </c>
      <c r="R22" s="100">
        <f t="shared" si="9"/>
        <v>28050</v>
      </c>
      <c r="S22" s="100">
        <f>S23+S24</f>
        <v>37950</v>
      </c>
      <c r="T22" s="100">
        <f t="shared" si="9"/>
        <v>37950</v>
      </c>
      <c r="U22" s="100">
        <f t="shared" si="9"/>
        <v>62700</v>
      </c>
      <c r="V22" s="100">
        <f t="shared" si="9"/>
        <v>59400</v>
      </c>
      <c r="W22" s="100">
        <f t="shared" si="9"/>
        <v>17100</v>
      </c>
      <c r="X22" s="19">
        <f t="shared" si="1"/>
        <v>1896810</v>
      </c>
      <c r="Y22" s="1127"/>
      <c r="Z22" s="1127"/>
    </row>
    <row r="23" spans="1:26" ht="20.100000000000001" customHeight="1">
      <c r="A23" s="90" t="s">
        <v>72</v>
      </c>
      <c r="B23" s="91" t="s">
        <v>70</v>
      </c>
      <c r="C23" s="91" t="s">
        <v>66</v>
      </c>
      <c r="D23" s="92" t="s">
        <v>2359</v>
      </c>
      <c r="E23" s="99">
        <v>165850</v>
      </c>
      <c r="F23" s="99">
        <f>167220+7000</f>
        <v>174220</v>
      </c>
      <c r="G23" s="99">
        <v>88200</v>
      </c>
      <c r="H23" s="99">
        <v>122100</v>
      </c>
      <c r="I23" s="99">
        <v>87120</v>
      </c>
      <c r="J23" s="99">
        <v>199240</v>
      </c>
      <c r="K23" s="99">
        <v>171600</v>
      </c>
      <c r="L23" s="99">
        <v>80160</v>
      </c>
      <c r="M23" s="99">
        <v>150750</v>
      </c>
      <c r="N23" s="99">
        <f>101870+10980</f>
        <v>112850</v>
      </c>
      <c r="O23" s="99">
        <v>105300</v>
      </c>
      <c r="P23" s="99">
        <v>107350</v>
      </c>
      <c r="Q23" s="99">
        <v>88920</v>
      </c>
      <c r="R23" s="99">
        <v>28050</v>
      </c>
      <c r="S23" s="99">
        <v>37950</v>
      </c>
      <c r="T23" s="99">
        <v>37950</v>
      </c>
      <c r="U23" s="99">
        <v>62700</v>
      </c>
      <c r="V23" s="99">
        <v>59400</v>
      </c>
      <c r="W23" s="99">
        <v>17100</v>
      </c>
      <c r="X23" s="19">
        <f t="shared" si="1"/>
        <v>1896810</v>
      </c>
      <c r="Y23" s="1127"/>
      <c r="Z23" s="1127"/>
    </row>
    <row r="24" spans="1:26" ht="20.100000000000001" customHeight="1">
      <c r="A24" s="90" t="s">
        <v>74</v>
      </c>
      <c r="B24" s="91" t="s">
        <v>73</v>
      </c>
      <c r="C24" s="91" t="s">
        <v>66</v>
      </c>
      <c r="D24" s="92" t="s">
        <v>2359</v>
      </c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R24" s="99"/>
      <c r="S24" s="99"/>
      <c r="T24" s="99"/>
      <c r="U24" s="99"/>
      <c r="V24" s="99"/>
      <c r="W24" s="99"/>
      <c r="X24" s="19">
        <f t="shared" si="1"/>
        <v>0</v>
      </c>
      <c r="Y24" s="1127"/>
      <c r="Z24" s="1127"/>
    </row>
    <row r="25" spans="1:26" ht="20.100000000000001" customHeight="1">
      <c r="A25" s="90" t="s">
        <v>76</v>
      </c>
      <c r="B25" s="91" t="s">
        <v>75</v>
      </c>
      <c r="C25" s="91"/>
      <c r="D25" s="92" t="s">
        <v>28</v>
      </c>
      <c r="E25" s="19">
        <f>E26</f>
        <v>3327782.7199999997</v>
      </c>
      <c r="F25" s="19">
        <f>F26</f>
        <v>3228117.84</v>
      </c>
      <c r="G25" s="19">
        <f>G26</f>
        <v>2190000</v>
      </c>
      <c r="H25" s="19">
        <f>H26</f>
        <v>2696257.1</v>
      </c>
      <c r="I25" s="19">
        <f t="shared" ref="I25:W25" si="10">I26</f>
        <v>696960</v>
      </c>
      <c r="J25" s="19">
        <f t="shared" si="10"/>
        <v>3098685.91</v>
      </c>
      <c r="K25" s="19">
        <f t="shared" si="10"/>
        <v>2840709.0399999996</v>
      </c>
      <c r="L25" s="19">
        <f t="shared" si="10"/>
        <v>1775184.59</v>
      </c>
      <c r="M25" s="19">
        <f t="shared" si="10"/>
        <v>3160077.1199999996</v>
      </c>
      <c r="N25" s="19">
        <f t="shared" si="10"/>
        <v>2117743.86</v>
      </c>
      <c r="O25" s="19">
        <f t="shared" si="10"/>
        <v>1899277.12</v>
      </c>
      <c r="P25" s="19">
        <f t="shared" si="10"/>
        <v>2041513.22</v>
      </c>
      <c r="Q25" s="19">
        <f t="shared" si="10"/>
        <v>1715596.84</v>
      </c>
      <c r="R25" s="19">
        <f t="shared" si="10"/>
        <v>566389.67999999993</v>
      </c>
      <c r="S25" s="19">
        <f t="shared" si="10"/>
        <v>740414.39</v>
      </c>
      <c r="T25" s="19">
        <f t="shared" si="10"/>
        <v>717572.72</v>
      </c>
      <c r="U25" s="19">
        <f t="shared" si="10"/>
        <v>1213639.3600000001</v>
      </c>
      <c r="V25" s="19">
        <f t="shared" si="10"/>
        <v>1181014.1200000001</v>
      </c>
      <c r="W25" s="19">
        <f t="shared" si="10"/>
        <v>218494.4</v>
      </c>
      <c r="X25" s="19">
        <f t="shared" si="1"/>
        <v>35425430.029999994</v>
      </c>
      <c r="Y25" s="1127"/>
      <c r="Z25" s="1127"/>
    </row>
    <row r="26" spans="1:26" s="96" customFormat="1" ht="20.100000000000001" customHeight="1">
      <c r="A26" s="90" t="s">
        <v>79</v>
      </c>
      <c r="B26" s="95" t="s">
        <v>2360</v>
      </c>
      <c r="C26" s="95" t="s">
        <v>78</v>
      </c>
      <c r="D26" s="92" t="s">
        <v>2352</v>
      </c>
      <c r="E26" s="22">
        <f>2171034.56+1156748.16</f>
        <v>3327782.7199999997</v>
      </c>
      <c r="F26" s="22">
        <f>2057613.84+290126*4+10000</f>
        <v>3228117.84</v>
      </c>
      <c r="G26" s="22">
        <v>2190000</v>
      </c>
      <c r="H26" s="22">
        <v>2696257.1</v>
      </c>
      <c r="I26" s="22">
        <v>696960</v>
      </c>
      <c r="J26" s="22">
        <v>3098685.91</v>
      </c>
      <c r="K26" s="22">
        <v>2840709.0399999996</v>
      </c>
      <c r="L26" s="22">
        <v>1775184.59</v>
      </c>
      <c r="M26" s="22">
        <v>3160077.1199999996</v>
      </c>
      <c r="N26" s="22">
        <f>1304048.74+185423.78*4+3000*4*6</f>
        <v>2117743.86</v>
      </c>
      <c r="O26" s="22">
        <v>1899277.12</v>
      </c>
      <c r="P26" s="22">
        <v>2041513.22</v>
      </c>
      <c r="Q26" s="22">
        <v>1715596.84</v>
      </c>
      <c r="R26" s="22">
        <f>402551.58+54612.7*3</f>
        <v>566389.67999999993</v>
      </c>
      <c r="S26" s="22">
        <v>740414.39</v>
      </c>
      <c r="T26" s="22">
        <v>717572.72</v>
      </c>
      <c r="U26" s="22">
        <v>1213639.3600000001</v>
      </c>
      <c r="V26" s="22">
        <v>1181014.1200000001</v>
      </c>
      <c r="W26" s="22">
        <v>218494.4</v>
      </c>
      <c r="X26" s="19">
        <f t="shared" si="1"/>
        <v>35425430.029999994</v>
      </c>
      <c r="Y26" s="1127"/>
      <c r="Z26" s="1127"/>
    </row>
    <row r="27" spans="1:26" ht="20.100000000000001" customHeight="1">
      <c r="A27" s="90" t="s">
        <v>81</v>
      </c>
      <c r="B27" s="91" t="s">
        <v>80</v>
      </c>
      <c r="C27" s="91"/>
      <c r="D27" s="92" t="s">
        <v>28</v>
      </c>
      <c r="E27" s="19">
        <f>E28</f>
        <v>1663913.1800000002</v>
      </c>
      <c r="F27" s="19">
        <f>F28</f>
        <v>1615080.24</v>
      </c>
      <c r="G27" s="19">
        <f>G28</f>
        <v>1100000</v>
      </c>
      <c r="H27" s="19">
        <f>H28</f>
        <v>1348146.75</v>
      </c>
      <c r="I27" s="19">
        <f t="shared" ref="I27:W27" si="11">I28</f>
        <v>348480</v>
      </c>
      <c r="J27" s="19">
        <f t="shared" si="11"/>
        <v>1549370.7</v>
      </c>
      <c r="K27" s="19">
        <f t="shared" si="11"/>
        <v>1420375.1999999997</v>
      </c>
      <c r="L27" s="19">
        <f t="shared" si="11"/>
        <v>887856.4</v>
      </c>
      <c r="M27" s="19">
        <f t="shared" si="11"/>
        <v>1538008.78</v>
      </c>
      <c r="N27" s="19">
        <f t="shared" si="11"/>
        <v>1054614</v>
      </c>
      <c r="O27" s="19">
        <f t="shared" si="11"/>
        <v>949657.5</v>
      </c>
      <c r="P27" s="19">
        <f t="shared" si="11"/>
        <v>1020772.12</v>
      </c>
      <c r="Q27" s="19">
        <f t="shared" si="11"/>
        <v>857812.89999999991</v>
      </c>
      <c r="R27" s="19">
        <f t="shared" si="11"/>
        <v>283199.40000000002</v>
      </c>
      <c r="S27" s="19">
        <f t="shared" si="11"/>
        <v>370214.77</v>
      </c>
      <c r="T27" s="19">
        <f t="shared" si="11"/>
        <v>357511</v>
      </c>
      <c r="U27" s="19">
        <f t="shared" si="11"/>
        <v>606830.30000000005</v>
      </c>
      <c r="V27" s="19">
        <f t="shared" si="11"/>
        <v>595772.80000000005</v>
      </c>
      <c r="W27" s="19">
        <f t="shared" si="11"/>
        <v>109248.6</v>
      </c>
      <c r="X27" s="19">
        <f t="shared" si="1"/>
        <v>17676864.640000001</v>
      </c>
      <c r="Y27" s="1127"/>
      <c r="Z27" s="1127"/>
    </row>
    <row r="28" spans="1:26" s="96" customFormat="1" ht="20.100000000000001" customHeight="1">
      <c r="A28" s="90" t="s">
        <v>84</v>
      </c>
      <c r="B28" s="95" t="s">
        <v>82</v>
      </c>
      <c r="C28" s="95" t="s">
        <v>83</v>
      </c>
      <c r="D28" s="92" t="s">
        <v>2352</v>
      </c>
      <c r="E28" s="22">
        <f>1085539.1+578374.08</f>
        <v>1663913.1800000002</v>
      </c>
      <c r="F28" s="22">
        <f>1028828.24+145063*4+6000</f>
        <v>1615080.24</v>
      </c>
      <c r="G28" s="22">
        <v>1100000</v>
      </c>
      <c r="H28" s="22">
        <v>1348146.75</v>
      </c>
      <c r="I28" s="22">
        <v>348480</v>
      </c>
      <c r="J28" s="22">
        <v>1549370.7</v>
      </c>
      <c r="K28" s="22">
        <v>1420375.1999999997</v>
      </c>
      <c r="L28" s="22">
        <v>887856.4</v>
      </c>
      <c r="M28" s="22">
        <v>1538008.78</v>
      </c>
      <c r="N28" s="22">
        <f>652038.48+92711.88*4+1322*4*6</f>
        <v>1054614</v>
      </c>
      <c r="O28" s="22">
        <v>949657.5</v>
      </c>
      <c r="P28" s="22">
        <v>1020772.12</v>
      </c>
      <c r="Q28" s="22">
        <v>857812.89999999991</v>
      </c>
      <c r="R28" s="22">
        <f>201280.38+27306.34*3</f>
        <v>283199.40000000002</v>
      </c>
      <c r="S28" s="22">
        <v>370214.77</v>
      </c>
      <c r="T28" s="22">
        <v>357511</v>
      </c>
      <c r="U28" s="22">
        <v>606830.30000000005</v>
      </c>
      <c r="V28" s="22">
        <v>595772.80000000005</v>
      </c>
      <c r="W28" s="22">
        <v>109248.6</v>
      </c>
      <c r="X28" s="19">
        <f t="shared" si="1"/>
        <v>17676864.640000001</v>
      </c>
      <c r="Y28" s="1127"/>
      <c r="Z28" s="1127"/>
    </row>
    <row r="29" spans="1:26" ht="20.100000000000001" customHeight="1">
      <c r="A29" s="90" t="s">
        <v>87</v>
      </c>
      <c r="B29" s="91" t="s">
        <v>2361</v>
      </c>
      <c r="C29" s="91" t="s">
        <v>88</v>
      </c>
      <c r="D29" s="92" t="s">
        <v>2362</v>
      </c>
      <c r="E29" s="99">
        <f>958956+504398</f>
        <v>1463354</v>
      </c>
      <c r="F29" s="99">
        <f>914487+125182*4</f>
        <v>1415215</v>
      </c>
      <c r="G29" s="99">
        <v>982633</v>
      </c>
      <c r="H29" s="99">
        <v>1207495</v>
      </c>
      <c r="I29" s="99">
        <v>304920</v>
      </c>
      <c r="J29" s="99">
        <v>1371126</v>
      </c>
      <c r="K29" s="99">
        <v>1273428</v>
      </c>
      <c r="L29" s="99">
        <v>790356</v>
      </c>
      <c r="M29" s="99">
        <v>1345872</v>
      </c>
      <c r="N29" s="99">
        <v>921432</v>
      </c>
      <c r="O29" s="99">
        <v>839838</v>
      </c>
      <c r="P29" s="99">
        <v>904246</v>
      </c>
      <c r="Q29" s="99">
        <v>757960</v>
      </c>
      <c r="R29" s="99">
        <f>181381+23893*3</f>
        <v>253060</v>
      </c>
      <c r="S29" s="99">
        <v>325532</v>
      </c>
      <c r="T29" s="99">
        <v>314784</v>
      </c>
      <c r="U29" s="99">
        <f>(79426*6+100514*2+101634*4)/2</f>
        <v>542060</v>
      </c>
      <c r="V29" s="99">
        <v>519317</v>
      </c>
      <c r="W29" s="99">
        <v>96324</v>
      </c>
      <c r="X29" s="19">
        <f t="shared" si="1"/>
        <v>15628952</v>
      </c>
      <c r="Y29" s="1127"/>
      <c r="Z29" s="1127"/>
    </row>
    <row r="30" spans="1:26" ht="20.100000000000001" customHeight="1">
      <c r="A30" s="90" t="s">
        <v>90</v>
      </c>
      <c r="B30" s="91" t="s">
        <v>2363</v>
      </c>
      <c r="C30" s="97" t="s">
        <v>35</v>
      </c>
      <c r="D30" s="93" t="s">
        <v>2364</v>
      </c>
      <c r="E30" s="99">
        <v>34000</v>
      </c>
      <c r="F30" s="99">
        <v>27500</v>
      </c>
      <c r="G30" s="99">
        <v>17000</v>
      </c>
      <c r="H30" s="99">
        <v>24500</v>
      </c>
      <c r="I30" s="99">
        <v>1500</v>
      </c>
      <c r="J30" s="99">
        <v>35500</v>
      </c>
      <c r="K30" s="99">
        <v>26000</v>
      </c>
      <c r="L30" s="99">
        <v>15500</v>
      </c>
      <c r="M30" s="99">
        <v>34000</v>
      </c>
      <c r="N30" s="99">
        <v>20000</v>
      </c>
      <c r="O30" s="99">
        <v>20000</v>
      </c>
      <c r="P30" s="99">
        <v>23000</v>
      </c>
      <c r="Q30" s="99">
        <v>23500</v>
      </c>
      <c r="R30" s="99">
        <v>4500</v>
      </c>
      <c r="S30" s="99">
        <v>6000</v>
      </c>
      <c r="T30" s="99">
        <v>6000</v>
      </c>
      <c r="U30" s="99">
        <v>14000</v>
      </c>
      <c r="V30" s="99">
        <v>12500</v>
      </c>
      <c r="W30" s="99">
        <v>1500</v>
      </c>
      <c r="X30" s="19">
        <f t="shared" si="1"/>
        <v>346500</v>
      </c>
      <c r="Y30" s="1128"/>
      <c r="Z30" s="1128"/>
    </row>
    <row r="31" spans="1:26" ht="20.100000000000001" customHeight="1">
      <c r="A31" s="90" t="s">
        <v>94</v>
      </c>
      <c r="B31" s="91" t="s">
        <v>95</v>
      </c>
      <c r="C31" s="91"/>
      <c r="D31" s="92" t="s">
        <v>28</v>
      </c>
      <c r="E31" s="19">
        <f t="shared" ref="E31:W31" si="12">E32+E36+E38+E40</f>
        <v>1298445</v>
      </c>
      <c r="F31" s="19">
        <f t="shared" si="12"/>
        <v>1211380</v>
      </c>
      <c r="G31" s="19">
        <f t="shared" si="12"/>
        <v>0</v>
      </c>
      <c r="H31" s="19">
        <f>H32+H36+H38+H40</f>
        <v>390</v>
      </c>
      <c r="I31" s="19">
        <f t="shared" si="12"/>
        <v>1080</v>
      </c>
      <c r="J31" s="19">
        <f t="shared" si="12"/>
        <v>1906430</v>
      </c>
      <c r="K31" s="19">
        <f t="shared" si="12"/>
        <v>1840655</v>
      </c>
      <c r="L31" s="19">
        <f t="shared" si="12"/>
        <v>990</v>
      </c>
      <c r="M31" s="19">
        <f>M32+M36+M38+M40</f>
        <v>4680</v>
      </c>
      <c r="N31" s="19">
        <f>N32+N36+N38+N40</f>
        <v>720</v>
      </c>
      <c r="O31" s="19">
        <f t="shared" si="12"/>
        <v>397965</v>
      </c>
      <c r="P31" s="19">
        <f t="shared" si="12"/>
        <v>414700</v>
      </c>
      <c r="Q31" s="19">
        <f>Q32+Q36+Q38+Q40</f>
        <v>15895</v>
      </c>
      <c r="R31" s="19">
        <f t="shared" si="12"/>
        <v>630</v>
      </c>
      <c r="S31" s="19">
        <f>S32+S36+S38+S40</f>
        <v>1680</v>
      </c>
      <c r="T31" s="19">
        <f t="shared" si="12"/>
        <v>720</v>
      </c>
      <c r="U31" s="19">
        <f t="shared" si="12"/>
        <v>1350</v>
      </c>
      <c r="V31" s="19">
        <f t="shared" si="12"/>
        <v>2040</v>
      </c>
      <c r="W31" s="19">
        <f t="shared" si="12"/>
        <v>371885</v>
      </c>
      <c r="X31" s="19">
        <f t="shared" si="1"/>
        <v>7471635</v>
      </c>
      <c r="Y31" s="1121">
        <v>174140</v>
      </c>
      <c r="Z31" s="1121">
        <f>X31-Y31</f>
        <v>7297495</v>
      </c>
    </row>
    <row r="32" spans="1:26" ht="20.100000000000001" customHeight="1">
      <c r="A32" s="90" t="s">
        <v>96</v>
      </c>
      <c r="B32" s="91" t="s">
        <v>97</v>
      </c>
      <c r="C32" s="91"/>
      <c r="D32" s="92" t="s">
        <v>28</v>
      </c>
      <c r="E32" s="19">
        <f t="shared" ref="E32:W32" si="13">E33+E34+E35</f>
        <v>0</v>
      </c>
      <c r="F32" s="19">
        <f t="shared" si="13"/>
        <v>0</v>
      </c>
      <c r="G32" s="19">
        <f t="shared" si="13"/>
        <v>0</v>
      </c>
      <c r="H32" s="19">
        <f>H33+H34+H35</f>
        <v>0</v>
      </c>
      <c r="I32" s="19">
        <f t="shared" si="13"/>
        <v>0</v>
      </c>
      <c r="J32" s="19">
        <f t="shared" si="13"/>
        <v>0</v>
      </c>
      <c r="K32" s="19">
        <f t="shared" si="13"/>
        <v>0</v>
      </c>
      <c r="L32" s="19">
        <f t="shared" si="13"/>
        <v>0</v>
      </c>
      <c r="M32" s="19">
        <f>M33+M34+M35</f>
        <v>0</v>
      </c>
      <c r="N32" s="19">
        <f>N33+N34+N35</f>
        <v>0</v>
      </c>
      <c r="O32" s="19">
        <f t="shared" si="13"/>
        <v>0</v>
      </c>
      <c r="P32" s="19">
        <f t="shared" si="13"/>
        <v>0</v>
      </c>
      <c r="Q32" s="19">
        <f>Q33+Q34+Q35</f>
        <v>0</v>
      </c>
      <c r="R32" s="19">
        <f t="shared" si="13"/>
        <v>0</v>
      </c>
      <c r="S32" s="19">
        <f>S33+S34+S35</f>
        <v>0</v>
      </c>
      <c r="T32" s="19">
        <f t="shared" si="13"/>
        <v>0</v>
      </c>
      <c r="U32" s="19">
        <f t="shared" si="13"/>
        <v>0</v>
      </c>
      <c r="V32" s="19">
        <f t="shared" si="13"/>
        <v>0</v>
      </c>
      <c r="W32" s="19">
        <f t="shared" si="13"/>
        <v>0</v>
      </c>
      <c r="X32" s="19">
        <f t="shared" si="1"/>
        <v>0</v>
      </c>
      <c r="Y32" s="1122"/>
      <c r="Z32" s="1122"/>
    </row>
    <row r="33" spans="1:26" ht="20.100000000000001" customHeight="1">
      <c r="A33" s="90" t="s">
        <v>98</v>
      </c>
      <c r="B33" s="91" t="s">
        <v>2365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1"/>
        <v>0</v>
      </c>
      <c r="Y33" s="1122"/>
      <c r="Z33" s="1122"/>
    </row>
    <row r="34" spans="1:26" ht="20.100000000000001" customHeight="1">
      <c r="A34" s="90" t="s">
        <v>102</v>
      </c>
      <c r="B34" s="91" t="s">
        <v>2366</v>
      </c>
      <c r="C34" s="91" t="s">
        <v>100</v>
      </c>
      <c r="D34" s="98" t="s">
        <v>101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1"/>
        <v>0</v>
      </c>
      <c r="Y34" s="1122"/>
      <c r="Z34" s="1122"/>
    </row>
    <row r="35" spans="1:26" ht="20.100000000000001" customHeight="1">
      <c r="A35" s="90" t="s">
        <v>104</v>
      </c>
      <c r="B35" s="91" t="s">
        <v>2367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1"/>
        <v>0</v>
      </c>
      <c r="Y35" s="1122"/>
      <c r="Z35" s="1122"/>
    </row>
    <row r="36" spans="1:26" ht="20.100000000000001" customHeight="1">
      <c r="A36" s="90" t="s">
        <v>107</v>
      </c>
      <c r="B36" s="91" t="s">
        <v>2368</v>
      </c>
      <c r="C36" s="91" t="s">
        <v>100</v>
      </c>
      <c r="D36" s="98" t="s">
        <v>2369</v>
      </c>
      <c r="E36" s="100">
        <f t="shared" ref="E36:W36" si="14">E37</f>
        <v>1294685</v>
      </c>
      <c r="F36" s="100">
        <f t="shared" si="14"/>
        <v>1210000</v>
      </c>
      <c r="G36" s="100">
        <f t="shared" si="14"/>
        <v>0</v>
      </c>
      <c r="H36" s="100">
        <f>H37</f>
        <v>0</v>
      </c>
      <c r="I36" s="100">
        <f t="shared" si="14"/>
        <v>0</v>
      </c>
      <c r="J36" s="100">
        <f t="shared" si="14"/>
        <v>1905440</v>
      </c>
      <c r="K36" s="100">
        <f t="shared" si="14"/>
        <v>1839935</v>
      </c>
      <c r="L36" s="100">
        <f t="shared" si="14"/>
        <v>0</v>
      </c>
      <c r="M36" s="100">
        <f>M37</f>
        <v>0</v>
      </c>
      <c r="N36" s="100">
        <f>N37</f>
        <v>0</v>
      </c>
      <c r="O36" s="100">
        <f t="shared" si="14"/>
        <v>392265</v>
      </c>
      <c r="P36" s="100">
        <f t="shared" si="14"/>
        <v>410740</v>
      </c>
      <c r="Q36" s="100">
        <f>Q37</f>
        <v>11935</v>
      </c>
      <c r="R36" s="100">
        <f t="shared" si="14"/>
        <v>0</v>
      </c>
      <c r="S36" s="100">
        <f>S37</f>
        <v>0</v>
      </c>
      <c r="T36" s="100">
        <f t="shared" si="14"/>
        <v>0</v>
      </c>
      <c r="U36" s="100">
        <f t="shared" si="14"/>
        <v>0</v>
      </c>
      <c r="V36" s="100">
        <f t="shared" si="14"/>
        <v>0</v>
      </c>
      <c r="W36" s="100">
        <f t="shared" si="14"/>
        <v>371405</v>
      </c>
      <c r="X36" s="19">
        <f t="shared" si="1"/>
        <v>7436405</v>
      </c>
      <c r="Y36" s="1122"/>
      <c r="Z36" s="1122"/>
    </row>
    <row r="37" spans="1:26" ht="20.100000000000001" customHeight="1">
      <c r="A37" s="90" t="s">
        <v>109</v>
      </c>
      <c r="B37" s="91" t="s">
        <v>2370</v>
      </c>
      <c r="C37" s="91" t="s">
        <v>100</v>
      </c>
      <c r="D37" s="98" t="s">
        <v>2369</v>
      </c>
      <c r="E37" s="22">
        <f>856600+438085</f>
        <v>1294685</v>
      </c>
      <c r="F37" s="22">
        <v>1210000</v>
      </c>
      <c r="G37" s="22"/>
      <c r="H37" s="22"/>
      <c r="I37" s="22"/>
      <c r="J37" s="22">
        <v>1905440</v>
      </c>
      <c r="K37" s="22">
        <v>1839935</v>
      </c>
      <c r="L37" s="22"/>
      <c r="M37" s="22"/>
      <c r="N37" s="22"/>
      <c r="O37" s="22">
        <v>392265</v>
      </c>
      <c r="P37" s="22">
        <v>410740</v>
      </c>
      <c r="Q37" s="22">
        <v>11935</v>
      </c>
      <c r="R37" s="22"/>
      <c r="S37" s="22"/>
      <c r="T37" s="22"/>
      <c r="U37" s="22"/>
      <c r="V37" s="22"/>
      <c r="W37" s="22">
        <v>371405</v>
      </c>
      <c r="X37" s="19">
        <f t="shared" si="1"/>
        <v>7436405</v>
      </c>
      <c r="Y37" s="1122"/>
      <c r="Z37" s="1122"/>
    </row>
    <row r="38" spans="1:26" ht="20.100000000000001" customHeight="1">
      <c r="A38" s="90" t="s">
        <v>111</v>
      </c>
      <c r="B38" s="91" t="s">
        <v>125</v>
      </c>
      <c r="C38" s="91"/>
      <c r="D38" s="92" t="s">
        <v>28</v>
      </c>
      <c r="E38" s="19">
        <f t="shared" ref="E38:W38" si="15">E39</f>
        <v>3760</v>
      </c>
      <c r="F38" s="19">
        <f t="shared" si="15"/>
        <v>1380</v>
      </c>
      <c r="G38" s="19">
        <f t="shared" si="15"/>
        <v>0</v>
      </c>
      <c r="H38" s="19">
        <f>H39</f>
        <v>390</v>
      </c>
      <c r="I38" s="19">
        <f t="shared" si="15"/>
        <v>1080</v>
      </c>
      <c r="J38" s="19">
        <f t="shared" si="15"/>
        <v>990</v>
      </c>
      <c r="K38" s="19">
        <f t="shared" si="15"/>
        <v>720</v>
      </c>
      <c r="L38" s="19">
        <f t="shared" si="15"/>
        <v>990</v>
      </c>
      <c r="M38" s="19">
        <f>M39</f>
        <v>4680</v>
      </c>
      <c r="N38" s="19">
        <f>N39</f>
        <v>720</v>
      </c>
      <c r="O38" s="19">
        <f t="shared" si="15"/>
        <v>5700</v>
      </c>
      <c r="P38" s="19">
        <f t="shared" si="15"/>
        <v>3960</v>
      </c>
      <c r="Q38" s="19">
        <f>Q39</f>
        <v>3960</v>
      </c>
      <c r="R38" s="19">
        <f t="shared" si="15"/>
        <v>630</v>
      </c>
      <c r="S38" s="19">
        <f>S39</f>
        <v>1680</v>
      </c>
      <c r="T38" s="19">
        <f t="shared" si="15"/>
        <v>720</v>
      </c>
      <c r="U38" s="19">
        <f t="shared" si="15"/>
        <v>1350</v>
      </c>
      <c r="V38" s="19">
        <f t="shared" si="15"/>
        <v>2040</v>
      </c>
      <c r="W38" s="19">
        <f t="shared" si="15"/>
        <v>480</v>
      </c>
      <c r="X38" s="19">
        <f t="shared" si="1"/>
        <v>35230</v>
      </c>
      <c r="Y38" s="1122"/>
      <c r="Z38" s="1122"/>
    </row>
    <row r="39" spans="1:26" ht="20.100000000000001" customHeight="1">
      <c r="A39" s="90" t="s">
        <v>113</v>
      </c>
      <c r="B39" s="91" t="s">
        <v>127</v>
      </c>
      <c r="C39" s="91" t="s">
        <v>35</v>
      </c>
      <c r="D39" s="92" t="s">
        <v>36</v>
      </c>
      <c r="E39" s="22">
        <v>3760</v>
      </c>
      <c r="F39" s="22">
        <f>1440-60</f>
        <v>1380</v>
      </c>
      <c r="G39" s="22"/>
      <c r="H39" s="22">
        <v>390</v>
      </c>
      <c r="I39" s="22">
        <v>1080</v>
      </c>
      <c r="J39" s="22">
        <v>990</v>
      </c>
      <c r="K39" s="22">
        <v>720</v>
      </c>
      <c r="L39" s="22">
        <v>990</v>
      </c>
      <c r="M39" s="22">
        <v>4680</v>
      </c>
      <c r="N39" s="22">
        <v>720</v>
      </c>
      <c r="O39" s="22">
        <v>5700</v>
      </c>
      <c r="P39" s="22">
        <v>3960</v>
      </c>
      <c r="Q39" s="22">
        <v>3960</v>
      </c>
      <c r="R39" s="22">
        <f>570+30*2</f>
        <v>630</v>
      </c>
      <c r="S39" s="22">
        <v>1680</v>
      </c>
      <c r="T39" s="22">
        <v>720</v>
      </c>
      <c r="U39" s="22">
        <v>1350</v>
      </c>
      <c r="V39" s="22">
        <v>2040</v>
      </c>
      <c r="W39" s="22">
        <v>480</v>
      </c>
      <c r="X39" s="19">
        <f t="shared" si="1"/>
        <v>35230</v>
      </c>
      <c r="Y39" s="1122"/>
      <c r="Z39" s="1122"/>
    </row>
    <row r="40" spans="1:26" ht="20.100000000000001" customHeight="1">
      <c r="A40" s="90" t="s">
        <v>115</v>
      </c>
      <c r="B40" s="91" t="s">
        <v>129</v>
      </c>
      <c r="C40" s="91"/>
      <c r="D40" s="92" t="s">
        <v>28</v>
      </c>
      <c r="E40" s="19">
        <f t="shared" ref="E40:W40" si="16">E41</f>
        <v>0</v>
      </c>
      <c r="F40" s="19">
        <f t="shared" si="16"/>
        <v>0</v>
      </c>
      <c r="G40" s="19">
        <f t="shared" si="16"/>
        <v>0</v>
      </c>
      <c r="H40" s="19">
        <f>H41</f>
        <v>0</v>
      </c>
      <c r="I40" s="19">
        <f t="shared" si="16"/>
        <v>0</v>
      </c>
      <c r="J40" s="19">
        <f t="shared" si="16"/>
        <v>0</v>
      </c>
      <c r="K40" s="19">
        <f t="shared" si="16"/>
        <v>0</v>
      </c>
      <c r="L40" s="19">
        <f t="shared" si="16"/>
        <v>0</v>
      </c>
      <c r="M40" s="19">
        <f>M41</f>
        <v>0</v>
      </c>
      <c r="N40" s="19">
        <f>N41</f>
        <v>0</v>
      </c>
      <c r="O40" s="19">
        <f t="shared" si="16"/>
        <v>0</v>
      </c>
      <c r="P40" s="19">
        <f t="shared" si="16"/>
        <v>0</v>
      </c>
      <c r="Q40" s="19">
        <f>Q41</f>
        <v>0</v>
      </c>
      <c r="R40" s="19">
        <f t="shared" si="16"/>
        <v>0</v>
      </c>
      <c r="S40" s="19">
        <f>S41</f>
        <v>0</v>
      </c>
      <c r="T40" s="19">
        <f t="shared" si="16"/>
        <v>0</v>
      </c>
      <c r="U40" s="19">
        <f t="shared" si="16"/>
        <v>0</v>
      </c>
      <c r="V40" s="19">
        <f t="shared" si="16"/>
        <v>0</v>
      </c>
      <c r="W40" s="19">
        <f t="shared" si="16"/>
        <v>0</v>
      </c>
      <c r="X40" s="19">
        <f t="shared" si="1"/>
        <v>0</v>
      </c>
      <c r="Y40" s="1122"/>
      <c r="Z40" s="1122"/>
    </row>
    <row r="41" spans="1:26" ht="20.100000000000001" customHeight="1">
      <c r="A41" s="90" t="s">
        <v>116</v>
      </c>
      <c r="B41" s="91" t="s">
        <v>2371</v>
      </c>
      <c r="C41" s="91" t="s">
        <v>35</v>
      </c>
      <c r="D41" s="98" t="s">
        <v>140</v>
      </c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99"/>
      <c r="P41" s="99"/>
      <c r="Q41" s="99"/>
      <c r="R41" s="99"/>
      <c r="S41" s="99">
        <v>0</v>
      </c>
      <c r="T41" s="99"/>
      <c r="U41" s="99"/>
      <c r="V41" s="99">
        <v>0</v>
      </c>
      <c r="W41" s="99"/>
      <c r="X41" s="19">
        <f t="shared" si="1"/>
        <v>0</v>
      </c>
      <c r="Y41" s="1123"/>
      <c r="Z41" s="1123"/>
    </row>
    <row r="42" spans="1:26" ht="20.100000000000001" customHeight="1">
      <c r="A42" s="90" t="s">
        <v>118</v>
      </c>
      <c r="B42" s="91" t="s">
        <v>142</v>
      </c>
      <c r="C42" s="91"/>
      <c r="D42" s="92" t="s">
        <v>28</v>
      </c>
      <c r="E42" s="850">
        <f t="shared" ref="E42:W42" si="17">E43+E45+E47+E49+E51+E54+E56+E58+E62</f>
        <v>5282114</v>
      </c>
      <c r="F42" s="850">
        <f t="shared" si="17"/>
        <v>5378220.1399999997</v>
      </c>
      <c r="G42" s="850">
        <f t="shared" si="17"/>
        <v>4977889.3499999996</v>
      </c>
      <c r="H42" s="850">
        <f>H43+H45+H47+H49+H51+H54+H56+H58+H62</f>
        <v>5199901.07</v>
      </c>
      <c r="I42" s="850">
        <f t="shared" si="17"/>
        <v>2811400.5</v>
      </c>
      <c r="J42" s="850">
        <f t="shared" si="17"/>
        <v>6942396.25</v>
      </c>
      <c r="K42" s="850">
        <f t="shared" si="17"/>
        <v>5259869.42</v>
      </c>
      <c r="L42" s="850">
        <f t="shared" si="17"/>
        <v>3860860.55</v>
      </c>
      <c r="M42" s="850">
        <f>M43+M45+M47+M49+M51+M54+M56+M58+M62</f>
        <v>5838521.46</v>
      </c>
      <c r="N42" s="850">
        <f>N43+N45+N47+N49+N51+N54+N56+N58+N62</f>
        <v>4175301.19</v>
      </c>
      <c r="O42" s="850">
        <f t="shared" si="17"/>
        <v>2687654.1199999996</v>
      </c>
      <c r="P42" s="850">
        <f t="shared" si="17"/>
        <v>3534572.7</v>
      </c>
      <c r="Q42" s="850">
        <f>Q43+Q45+Q47+Q49+Q51+Q54+Q56+Q58+Q62</f>
        <v>2704859.51</v>
      </c>
      <c r="R42" s="850">
        <f t="shared" si="17"/>
        <v>1149167</v>
      </c>
      <c r="S42" s="850">
        <f>S43+S45+S47+S49+S51+S54+S56+S58+S62</f>
        <v>1391337.99</v>
      </c>
      <c r="T42" s="850">
        <f t="shared" si="17"/>
        <v>2182304.29</v>
      </c>
      <c r="U42" s="850">
        <f t="shared" si="17"/>
        <v>2302163.0099999998</v>
      </c>
      <c r="V42" s="850">
        <f t="shared" si="17"/>
        <v>2392456.29</v>
      </c>
      <c r="W42" s="850">
        <f t="shared" si="17"/>
        <v>401819.43</v>
      </c>
      <c r="X42" s="19">
        <f t="shared" si="1"/>
        <v>68472808.270000011</v>
      </c>
      <c r="Y42" s="1121">
        <v>63326075.219999991</v>
      </c>
      <c r="Z42" s="1121">
        <f>X42-Y42</f>
        <v>5146733.0500000194</v>
      </c>
    </row>
    <row r="43" spans="1:26" ht="20.100000000000001" customHeight="1">
      <c r="A43" s="90" t="s">
        <v>120</v>
      </c>
      <c r="B43" s="91" t="s">
        <v>144</v>
      </c>
      <c r="C43" s="91"/>
      <c r="D43" s="92" t="s">
        <v>145</v>
      </c>
      <c r="E43" s="22">
        <v>3781485</v>
      </c>
      <c r="F43" s="22">
        <v>3997585</v>
      </c>
      <c r="G43" s="22">
        <v>3483665</v>
      </c>
      <c r="H43" s="851">
        <v>4179320</v>
      </c>
      <c r="I43" s="22">
        <v>2310000</v>
      </c>
      <c r="J43" s="22">
        <v>5048035</v>
      </c>
      <c r="K43" s="22">
        <v>3670500</v>
      </c>
      <c r="L43" s="22">
        <v>3021210</v>
      </c>
      <c r="M43" s="22">
        <v>4525675</v>
      </c>
      <c r="N43" s="22">
        <v>3329795</v>
      </c>
      <c r="O43" s="22">
        <v>1879020</v>
      </c>
      <c r="P43" s="22">
        <v>2594780</v>
      </c>
      <c r="Q43" s="22">
        <v>2019160</v>
      </c>
      <c r="R43" s="22">
        <v>858000</v>
      </c>
      <c r="S43" s="22">
        <v>1070400</v>
      </c>
      <c r="T43" s="22">
        <v>1748400</v>
      </c>
      <c r="U43" s="851">
        <f>300*2860*2+6480</f>
        <v>1722480</v>
      </c>
      <c r="V43" s="22">
        <v>1789780</v>
      </c>
      <c r="W43" s="22">
        <v>134400</v>
      </c>
      <c r="X43" s="19">
        <f t="shared" si="1"/>
        <v>51163690</v>
      </c>
      <c r="Y43" s="1122"/>
      <c r="Z43" s="1122"/>
    </row>
    <row r="44" spans="1:26" ht="20.100000000000001" customHeight="1">
      <c r="A44" s="90" t="s">
        <v>122</v>
      </c>
      <c r="B44" s="91" t="s">
        <v>2372</v>
      </c>
      <c r="C44" s="91" t="s">
        <v>2373</v>
      </c>
      <c r="D44" s="102" t="s">
        <v>2374</v>
      </c>
      <c r="E44" s="22">
        <v>189074.25</v>
      </c>
      <c r="F44" s="22">
        <v>199879.25</v>
      </c>
      <c r="G44" s="22">
        <v>174183.25</v>
      </c>
      <c r="H44" s="851">
        <f>H43*0.05</f>
        <v>208966</v>
      </c>
      <c r="I44" s="22">
        <v>53322.5</v>
      </c>
      <c r="J44" s="22">
        <v>252401.75</v>
      </c>
      <c r="K44" s="22">
        <v>183525</v>
      </c>
      <c r="L44" s="22">
        <v>151060.5</v>
      </c>
      <c r="M44" s="22">
        <v>226283.75</v>
      </c>
      <c r="N44" s="22">
        <v>166489.75</v>
      </c>
      <c r="O44" s="22">
        <v>93951</v>
      </c>
      <c r="P44" s="22">
        <v>129739</v>
      </c>
      <c r="Q44" s="22">
        <v>100958</v>
      </c>
      <c r="R44" s="22">
        <v>35607</v>
      </c>
      <c r="S44" s="22">
        <f>S43*0.05</f>
        <v>53520</v>
      </c>
      <c r="T44" s="22">
        <v>58963</v>
      </c>
      <c r="U44" s="851">
        <v>66890.5</v>
      </c>
      <c r="V44" s="22">
        <v>83125.5</v>
      </c>
      <c r="W44" s="22">
        <v>6720</v>
      </c>
      <c r="X44" s="19">
        <f t="shared" si="1"/>
        <v>2434660</v>
      </c>
      <c r="Y44" s="1122"/>
      <c r="Z44" s="1122"/>
    </row>
    <row r="45" spans="1:26" ht="20.100000000000001" customHeight="1">
      <c r="A45" s="90" t="s">
        <v>124</v>
      </c>
      <c r="B45" s="91" t="s">
        <v>183</v>
      </c>
      <c r="C45" s="91"/>
      <c r="D45" s="92"/>
      <c r="E45" s="19">
        <f t="shared" ref="E45:W45" si="18">E46</f>
        <v>33400</v>
      </c>
      <c r="F45" s="19">
        <f>F46</f>
        <v>33433</v>
      </c>
      <c r="G45" s="19">
        <f t="shared" si="18"/>
        <v>28433</v>
      </c>
      <c r="H45" s="850">
        <f>H46</f>
        <v>31000</v>
      </c>
      <c r="I45" s="19">
        <f t="shared" si="18"/>
        <v>6433</v>
      </c>
      <c r="J45" s="19">
        <f t="shared" si="18"/>
        <v>39200</v>
      </c>
      <c r="K45" s="19">
        <f t="shared" si="18"/>
        <v>32400</v>
      </c>
      <c r="L45" s="19">
        <f t="shared" si="18"/>
        <v>20600</v>
      </c>
      <c r="M45" s="19">
        <f>M46</f>
        <v>36200</v>
      </c>
      <c r="N45" s="19">
        <f>N46</f>
        <v>25000</v>
      </c>
      <c r="O45" s="19">
        <f t="shared" si="18"/>
        <v>23000</v>
      </c>
      <c r="P45" s="19">
        <f t="shared" si="18"/>
        <v>24000</v>
      </c>
      <c r="Q45" s="19">
        <f>Q46</f>
        <v>21800</v>
      </c>
      <c r="R45" s="19">
        <f t="shared" si="18"/>
        <v>6967</v>
      </c>
      <c r="S45" s="19">
        <f>S46</f>
        <v>9200</v>
      </c>
      <c r="T45" s="19">
        <f t="shared" si="18"/>
        <v>9200</v>
      </c>
      <c r="U45" s="850">
        <f t="shared" si="18"/>
        <v>15400</v>
      </c>
      <c r="V45" s="19">
        <f t="shared" si="18"/>
        <v>14800</v>
      </c>
      <c r="W45" s="19">
        <f t="shared" si="18"/>
        <v>2400</v>
      </c>
      <c r="X45" s="19">
        <f t="shared" si="1"/>
        <v>412866</v>
      </c>
      <c r="Y45" s="1122"/>
      <c r="Z45" s="1122"/>
    </row>
    <row r="46" spans="1:26" s="96" customFormat="1" ht="20.100000000000001" customHeight="1">
      <c r="A46" s="90" t="s">
        <v>126</v>
      </c>
      <c r="B46" s="95" t="s">
        <v>185</v>
      </c>
      <c r="C46" s="95" t="s">
        <v>35</v>
      </c>
      <c r="D46" s="103" t="s">
        <v>2375</v>
      </c>
      <c r="E46" s="22">
        <v>33400</v>
      </c>
      <c r="F46" s="22">
        <v>33433</v>
      </c>
      <c r="G46" s="22">
        <v>28433</v>
      </c>
      <c r="H46" s="851">
        <v>31000</v>
      </c>
      <c r="I46" s="22">
        <v>6433</v>
      </c>
      <c r="J46" s="22">
        <v>39200</v>
      </c>
      <c r="K46" s="22">
        <v>32400</v>
      </c>
      <c r="L46" s="22">
        <v>20600</v>
      </c>
      <c r="M46" s="22">
        <v>36200</v>
      </c>
      <c r="N46" s="22">
        <v>25000</v>
      </c>
      <c r="O46" s="22">
        <v>23000</v>
      </c>
      <c r="P46" s="22">
        <v>24000</v>
      </c>
      <c r="Q46" s="22">
        <v>21800</v>
      </c>
      <c r="R46" s="22">
        <v>6967</v>
      </c>
      <c r="S46" s="22">
        <f>23*400</f>
        <v>9200</v>
      </c>
      <c r="T46" s="22">
        <v>9200</v>
      </c>
      <c r="U46" s="851">
        <v>15400</v>
      </c>
      <c r="V46" s="22">
        <v>14800</v>
      </c>
      <c r="W46" s="22">
        <v>2400</v>
      </c>
      <c r="X46" s="19">
        <f t="shared" si="1"/>
        <v>412866</v>
      </c>
      <c r="Y46" s="1122"/>
      <c r="Z46" s="1122"/>
    </row>
    <row r="47" spans="1:26" ht="20.100000000000001" customHeight="1">
      <c r="A47" s="90" t="s">
        <v>128</v>
      </c>
      <c r="B47" s="91" t="s">
        <v>188</v>
      </c>
      <c r="C47" s="91"/>
      <c r="D47" s="92" t="s">
        <v>28</v>
      </c>
      <c r="E47" s="19">
        <f t="shared" ref="E47:W47" si="19">E48</f>
        <v>255945</v>
      </c>
      <c r="F47" s="19">
        <f t="shared" si="19"/>
        <v>178845</v>
      </c>
      <c r="G47" s="19">
        <f t="shared" si="19"/>
        <v>715855.35</v>
      </c>
      <c r="H47" s="850">
        <f>H48</f>
        <v>191830.5</v>
      </c>
      <c r="I47" s="19">
        <f t="shared" si="19"/>
        <v>237987.9</v>
      </c>
      <c r="J47" s="19">
        <f t="shared" si="19"/>
        <v>353195.25</v>
      </c>
      <c r="K47" s="19">
        <f t="shared" si="19"/>
        <v>247352.85</v>
      </c>
      <c r="L47" s="19">
        <f t="shared" si="19"/>
        <v>249734.55</v>
      </c>
      <c r="M47" s="19">
        <f>M48</f>
        <v>328071.59999999998</v>
      </c>
      <c r="N47" s="19">
        <f>N48</f>
        <v>178714.35</v>
      </c>
      <c r="O47" s="19">
        <f t="shared" si="19"/>
        <v>114821.55</v>
      </c>
      <c r="P47" s="19">
        <f t="shared" si="19"/>
        <v>181706.7</v>
      </c>
      <c r="Q47" s="19">
        <f>Q48</f>
        <v>156571.80000000002</v>
      </c>
      <c r="R47" s="19">
        <f t="shared" si="19"/>
        <v>91200</v>
      </c>
      <c r="S47" s="19">
        <f>S48</f>
        <v>86216.85</v>
      </c>
      <c r="T47" s="19">
        <f t="shared" si="19"/>
        <v>179094</v>
      </c>
      <c r="U47" s="850">
        <f t="shared" si="19"/>
        <v>169290</v>
      </c>
      <c r="V47" s="19">
        <f t="shared" si="19"/>
        <v>202800</v>
      </c>
      <c r="W47" s="19">
        <f t="shared" si="19"/>
        <v>84720</v>
      </c>
      <c r="X47" s="19">
        <f t="shared" si="1"/>
        <v>4203953.25</v>
      </c>
      <c r="Y47" s="1122"/>
      <c r="Z47" s="1122"/>
    </row>
    <row r="48" spans="1:26" s="96" customFormat="1" ht="20.100000000000001" customHeight="1">
      <c r="A48" s="90" t="s">
        <v>130</v>
      </c>
      <c r="B48" s="95" t="s">
        <v>190</v>
      </c>
      <c r="C48" s="95" t="s">
        <v>35</v>
      </c>
      <c r="D48" s="103" t="s">
        <v>2376</v>
      </c>
      <c r="E48" s="22">
        <v>255945</v>
      </c>
      <c r="F48" s="22">
        <f>F77*15</f>
        <v>178845</v>
      </c>
      <c r="G48" s="22">
        <v>715855.35</v>
      </c>
      <c r="H48" s="851">
        <f>H77*15</f>
        <v>191830.5</v>
      </c>
      <c r="I48" s="22">
        <v>237987.9</v>
      </c>
      <c r="J48" s="22">
        <v>353195.25</v>
      </c>
      <c r="K48" s="22">
        <v>247352.85</v>
      </c>
      <c r="L48" s="22">
        <v>249734.55</v>
      </c>
      <c r="M48" s="22">
        <v>328071.59999999998</v>
      </c>
      <c r="N48" s="22">
        <f>15*N77</f>
        <v>178714.35</v>
      </c>
      <c r="O48" s="22">
        <v>114821.55</v>
      </c>
      <c r="P48" s="22">
        <v>181706.7</v>
      </c>
      <c r="Q48" s="22">
        <f>Q77*15</f>
        <v>156571.80000000002</v>
      </c>
      <c r="R48" s="22">
        <v>91200</v>
      </c>
      <c r="S48" s="22">
        <f>S77*15</f>
        <v>86216.85</v>
      </c>
      <c r="T48" s="22">
        <f>T77*15</f>
        <v>179094</v>
      </c>
      <c r="U48" s="851">
        <v>169290</v>
      </c>
      <c r="V48" s="22">
        <v>202800</v>
      </c>
      <c r="W48" s="22">
        <v>84720</v>
      </c>
      <c r="X48" s="19">
        <f t="shared" si="1"/>
        <v>4203953.25</v>
      </c>
      <c r="Y48" s="1122"/>
      <c r="Z48" s="1122"/>
    </row>
    <row r="49" spans="1:26" ht="20.100000000000001" customHeight="1">
      <c r="A49" s="90" t="s">
        <v>133</v>
      </c>
      <c r="B49" s="91" t="s">
        <v>193</v>
      </c>
      <c r="C49" s="91"/>
      <c r="D49" s="92" t="s">
        <v>28</v>
      </c>
      <c r="E49" s="19">
        <f t="shared" ref="E49:W49" si="20">E50</f>
        <v>126632</v>
      </c>
      <c r="F49" s="19">
        <f t="shared" si="20"/>
        <v>82880</v>
      </c>
      <c r="G49" s="19">
        <f t="shared" si="20"/>
        <v>130104</v>
      </c>
      <c r="H49" s="850">
        <f>H50</f>
        <v>81432</v>
      </c>
      <c r="I49" s="19">
        <f t="shared" si="20"/>
        <v>68379.600000000006</v>
      </c>
      <c r="J49" s="19">
        <f t="shared" si="20"/>
        <v>157696</v>
      </c>
      <c r="K49" s="19">
        <f t="shared" si="20"/>
        <v>89280</v>
      </c>
      <c r="L49" s="19">
        <f t="shared" si="20"/>
        <v>89000</v>
      </c>
      <c r="M49" s="19">
        <f>M50</f>
        <v>125600</v>
      </c>
      <c r="N49" s="19">
        <f>N50</f>
        <v>67576.800000000003</v>
      </c>
      <c r="O49" s="19">
        <f t="shared" si="20"/>
        <v>41072</v>
      </c>
      <c r="P49" s="19">
        <f t="shared" si="20"/>
        <v>34640</v>
      </c>
      <c r="Q49" s="19">
        <f>Q50</f>
        <v>34128</v>
      </c>
      <c r="R49" s="19">
        <f t="shared" si="20"/>
        <v>20000</v>
      </c>
      <c r="S49" s="19">
        <f>S50</f>
        <v>20152</v>
      </c>
      <c r="T49" s="19">
        <f t="shared" si="20"/>
        <v>39992</v>
      </c>
      <c r="U49" s="850">
        <f t="shared" si="20"/>
        <v>37018.720000000001</v>
      </c>
      <c r="V49" s="19">
        <f t="shared" si="20"/>
        <v>40360</v>
      </c>
      <c r="W49" s="19">
        <f t="shared" si="20"/>
        <v>18560</v>
      </c>
      <c r="X49" s="19">
        <f t="shared" si="1"/>
        <v>1304503.1199999999</v>
      </c>
      <c r="Y49" s="1122"/>
      <c r="Z49" s="1122"/>
    </row>
    <row r="50" spans="1:26" s="96" customFormat="1" ht="20.100000000000001" customHeight="1">
      <c r="A50" s="90" t="s">
        <v>136</v>
      </c>
      <c r="B50" s="95" t="s">
        <v>195</v>
      </c>
      <c r="C50" s="95" t="s">
        <v>35</v>
      </c>
      <c r="D50" s="103" t="s">
        <v>2377</v>
      </c>
      <c r="E50" s="22">
        <v>126632</v>
      </c>
      <c r="F50" s="22">
        <f>F78*8</f>
        <v>82880</v>
      </c>
      <c r="G50" s="22">
        <v>130104</v>
      </c>
      <c r="H50" s="851">
        <f>H78*8</f>
        <v>81432</v>
      </c>
      <c r="I50" s="22">
        <v>68379.600000000006</v>
      </c>
      <c r="J50" s="22">
        <v>157696</v>
      </c>
      <c r="K50" s="22">
        <v>89280</v>
      </c>
      <c r="L50" s="22">
        <v>89000</v>
      </c>
      <c r="M50" s="22">
        <v>125600</v>
      </c>
      <c r="N50" s="22">
        <f>8*N78</f>
        <v>67576.800000000003</v>
      </c>
      <c r="O50" s="22">
        <v>41072</v>
      </c>
      <c r="P50" s="22">
        <v>34640</v>
      </c>
      <c r="Q50" s="22">
        <f>Q78*8</f>
        <v>34128</v>
      </c>
      <c r="R50" s="22">
        <v>20000</v>
      </c>
      <c r="S50" s="22">
        <f>S78*8</f>
        <v>20152</v>
      </c>
      <c r="T50" s="22">
        <f>T78*8</f>
        <v>39992</v>
      </c>
      <c r="U50" s="851">
        <v>37018.720000000001</v>
      </c>
      <c r="V50" s="22">
        <v>40360</v>
      </c>
      <c r="W50" s="22">
        <v>18560</v>
      </c>
      <c r="X50" s="19">
        <f t="shared" si="1"/>
        <v>1304503.1199999999</v>
      </c>
      <c r="Y50" s="1122"/>
      <c r="Z50" s="1122"/>
    </row>
    <row r="51" spans="1:26" ht="20.100000000000001" customHeight="1">
      <c r="A51" s="90" t="s">
        <v>138</v>
      </c>
      <c r="B51" s="91" t="s">
        <v>2378</v>
      </c>
      <c r="C51" s="91"/>
      <c r="D51" s="92" t="s">
        <v>28</v>
      </c>
      <c r="E51" s="19">
        <f t="shared" ref="E51:W51" si="21">E52+E53</f>
        <v>652320</v>
      </c>
      <c r="F51" s="19">
        <f t="shared" si="21"/>
        <v>639360</v>
      </c>
      <c r="G51" s="19">
        <f t="shared" si="21"/>
        <v>307080</v>
      </c>
      <c r="H51" s="850">
        <f>H52+H53</f>
        <v>333720</v>
      </c>
      <c r="I51" s="19">
        <f t="shared" si="21"/>
        <v>69480</v>
      </c>
      <c r="J51" s="19">
        <f t="shared" si="21"/>
        <v>868320</v>
      </c>
      <c r="K51" s="19">
        <f t="shared" si="21"/>
        <v>779400</v>
      </c>
      <c r="L51" s="19">
        <f t="shared" si="21"/>
        <v>221400</v>
      </c>
      <c r="M51" s="19">
        <f>M52+M53</f>
        <v>397440</v>
      </c>
      <c r="N51" s="19">
        <f>N52+N53</f>
        <v>269280</v>
      </c>
      <c r="O51" s="19">
        <f t="shared" si="21"/>
        <v>354240</v>
      </c>
      <c r="P51" s="19">
        <f t="shared" si="21"/>
        <v>365040</v>
      </c>
      <c r="Q51" s="19">
        <f>Q52+Q53</f>
        <v>239400</v>
      </c>
      <c r="R51" s="19">
        <f t="shared" si="21"/>
        <v>75240</v>
      </c>
      <c r="S51" s="19">
        <f>S52+S53</f>
        <v>99360</v>
      </c>
      <c r="T51" s="19">
        <f t="shared" si="21"/>
        <v>103680</v>
      </c>
      <c r="U51" s="850">
        <f t="shared" si="21"/>
        <v>165600</v>
      </c>
      <c r="V51" s="19">
        <f t="shared" si="21"/>
        <v>159840</v>
      </c>
      <c r="W51" s="19">
        <f t="shared" si="21"/>
        <v>103680</v>
      </c>
      <c r="X51" s="19">
        <f t="shared" si="1"/>
        <v>6203880</v>
      </c>
      <c r="Y51" s="1122"/>
      <c r="Z51" s="1122"/>
    </row>
    <row r="52" spans="1:26" s="96" customFormat="1" ht="20.100000000000001" customHeight="1">
      <c r="A52" s="90" t="s">
        <v>141</v>
      </c>
      <c r="B52" s="95" t="s">
        <v>2379</v>
      </c>
      <c r="C52" s="95" t="s">
        <v>35</v>
      </c>
      <c r="D52" s="103" t="s">
        <v>2380</v>
      </c>
      <c r="E52" s="22">
        <v>367200</v>
      </c>
      <c r="F52" s="22">
        <f>84*4320</f>
        <v>362880</v>
      </c>
      <c r="G52" s="22">
        <v>307080</v>
      </c>
      <c r="H52" s="851">
        <f>360*74*6+360*78*1+360*81*5</f>
        <v>333720</v>
      </c>
      <c r="I52" s="22">
        <v>69480</v>
      </c>
      <c r="J52" s="22">
        <v>427680</v>
      </c>
      <c r="K52" s="22">
        <v>349920</v>
      </c>
      <c r="L52" s="22">
        <v>221400</v>
      </c>
      <c r="M52" s="22">
        <f>92*4320</f>
        <v>397440</v>
      </c>
      <c r="N52" s="22">
        <f>61*6*360+62*360+64*5*360</f>
        <v>269280</v>
      </c>
      <c r="O52" s="22">
        <v>250560</v>
      </c>
      <c r="P52" s="22">
        <v>258480</v>
      </c>
      <c r="Q52" s="22">
        <f>235080</f>
        <v>235080</v>
      </c>
      <c r="R52" s="22">
        <v>75240</v>
      </c>
      <c r="S52" s="22">
        <f>23*4320</f>
        <v>99360</v>
      </c>
      <c r="T52" s="22">
        <f>T65*4320</f>
        <v>103680</v>
      </c>
      <c r="U52" s="851">
        <f>38*4320/12*8+39*4320/12*4</f>
        <v>165600</v>
      </c>
      <c r="V52" s="22">
        <v>159840</v>
      </c>
      <c r="W52" s="22">
        <v>25920</v>
      </c>
      <c r="X52" s="19">
        <f t="shared" si="1"/>
        <v>4479840</v>
      </c>
      <c r="Y52" s="1122"/>
      <c r="Z52" s="1122"/>
    </row>
    <row r="53" spans="1:26" s="96" customFormat="1" ht="20.100000000000001" customHeight="1">
      <c r="A53" s="90" t="s">
        <v>143</v>
      </c>
      <c r="B53" s="95" t="s">
        <v>2381</v>
      </c>
      <c r="C53" s="95" t="s">
        <v>35</v>
      </c>
      <c r="D53" s="103" t="s">
        <v>2382</v>
      </c>
      <c r="E53" s="22">
        <v>285120</v>
      </c>
      <c r="F53" s="22">
        <f>768/12*4320</f>
        <v>276480</v>
      </c>
      <c r="G53" s="22"/>
      <c r="H53" s="851"/>
      <c r="I53" s="22"/>
      <c r="J53" s="22">
        <v>440640</v>
      </c>
      <c r="K53" s="22">
        <v>429480</v>
      </c>
      <c r="L53" s="22"/>
      <c r="M53" s="22">
        <v>0</v>
      </c>
      <c r="N53" s="22"/>
      <c r="O53" s="22">
        <v>103680</v>
      </c>
      <c r="P53" s="22">
        <v>106560</v>
      </c>
      <c r="Q53" s="22">
        <v>4320</v>
      </c>
      <c r="R53" s="22">
        <v>0</v>
      </c>
      <c r="S53" s="22"/>
      <c r="T53" s="22"/>
      <c r="U53" s="851"/>
      <c r="V53" s="22"/>
      <c r="W53" s="22">
        <v>77760</v>
      </c>
      <c r="X53" s="19">
        <f t="shared" si="1"/>
        <v>1724040</v>
      </c>
      <c r="Y53" s="1122"/>
      <c r="Z53" s="1122"/>
    </row>
    <row r="54" spans="1:26" ht="20.100000000000001" customHeight="1">
      <c r="A54" s="90" t="s">
        <v>146</v>
      </c>
      <c r="B54" s="91" t="s">
        <v>2383</v>
      </c>
      <c r="C54" s="91"/>
      <c r="D54" s="92" t="s">
        <v>28</v>
      </c>
      <c r="E54" s="19">
        <f t="shared" ref="E54:U59" si="22">E55</f>
        <v>371382</v>
      </c>
      <c r="F54" s="19">
        <f t="shared" si="22"/>
        <v>381017.14</v>
      </c>
      <c r="G54" s="19">
        <f t="shared" si="22"/>
        <v>280752</v>
      </c>
      <c r="H54" s="850">
        <f>H55</f>
        <v>344998.57</v>
      </c>
      <c r="I54" s="19">
        <f t="shared" si="22"/>
        <v>87120</v>
      </c>
      <c r="J54" s="19">
        <f t="shared" si="22"/>
        <v>391750</v>
      </c>
      <c r="K54" s="19">
        <f t="shared" si="22"/>
        <v>363836.57</v>
      </c>
      <c r="L54" s="19">
        <f t="shared" si="22"/>
        <v>225816</v>
      </c>
      <c r="M54" s="19">
        <f>M55</f>
        <v>384534.86</v>
      </c>
      <c r="N54" s="19">
        <f>N55</f>
        <v>271685.04000000004</v>
      </c>
      <c r="O54" s="19">
        <f t="shared" si="22"/>
        <v>224300.57</v>
      </c>
      <c r="P54" s="19">
        <f t="shared" si="22"/>
        <v>279506</v>
      </c>
      <c r="Q54" s="19">
        <f>Q55</f>
        <v>197299.71</v>
      </c>
      <c r="R54" s="19">
        <f t="shared" si="22"/>
        <v>70360</v>
      </c>
      <c r="S54" s="19">
        <f>S55</f>
        <v>93009.14</v>
      </c>
      <c r="T54" s="19">
        <f t="shared" si="22"/>
        <v>89938.29</v>
      </c>
      <c r="U54" s="850">
        <f t="shared" si="22"/>
        <v>154874.29</v>
      </c>
      <c r="V54" s="19">
        <f>V55</f>
        <v>148376.29</v>
      </c>
      <c r="W54" s="19">
        <f>W55</f>
        <v>26259.43</v>
      </c>
      <c r="X54" s="19">
        <f t="shared" si="1"/>
        <v>4386815.8999999994</v>
      </c>
      <c r="Y54" s="1122"/>
      <c r="Z54" s="1122"/>
    </row>
    <row r="55" spans="1:26" s="96" customFormat="1" ht="20.100000000000001" customHeight="1">
      <c r="A55" s="90" t="s">
        <v>148</v>
      </c>
      <c r="B55" s="95" t="s">
        <v>209</v>
      </c>
      <c r="C55" s="95" t="s">
        <v>35</v>
      </c>
      <c r="D55" s="92" t="s">
        <v>2384</v>
      </c>
      <c r="E55" s="22">
        <v>371382</v>
      </c>
      <c r="F55" s="22">
        <v>381017.14</v>
      </c>
      <c r="G55" s="22">
        <v>280752</v>
      </c>
      <c r="H55" s="851">
        <v>344998.57</v>
      </c>
      <c r="I55" s="22">
        <v>87120</v>
      </c>
      <c r="J55" s="22">
        <v>391750</v>
      </c>
      <c r="K55" s="22">
        <f>ROUND(K29/0.07*0.02,2)</f>
        <v>363836.57</v>
      </c>
      <c r="L55" s="22">
        <v>225816</v>
      </c>
      <c r="M55" s="22">
        <v>384534.86</v>
      </c>
      <c r="N55" s="22">
        <f>N14*4</f>
        <v>271685.04000000004</v>
      </c>
      <c r="O55" s="22">
        <v>224300.57</v>
      </c>
      <c r="P55" s="22">
        <v>279506</v>
      </c>
      <c r="Q55" s="22">
        <v>197299.71</v>
      </c>
      <c r="R55" s="22">
        <v>70360</v>
      </c>
      <c r="S55" s="22">
        <f>ROUND(S29/0.07*0.02,2)</f>
        <v>93009.14</v>
      </c>
      <c r="T55" s="22">
        <v>89938.29</v>
      </c>
      <c r="U55" s="851">
        <v>154874.29</v>
      </c>
      <c r="V55" s="22">
        <v>148376.29</v>
      </c>
      <c r="W55" s="22">
        <v>26259.43</v>
      </c>
      <c r="X55" s="19">
        <f t="shared" si="1"/>
        <v>4386815.8999999994</v>
      </c>
      <c r="Y55" s="1122"/>
      <c r="Z55" s="1122"/>
    </row>
    <row r="56" spans="1:26" ht="20.100000000000001" customHeight="1">
      <c r="A56" s="90" t="s">
        <v>150</v>
      </c>
      <c r="B56" s="91" t="s">
        <v>2385</v>
      </c>
      <c r="C56" s="91"/>
      <c r="D56" s="92" t="s">
        <v>28</v>
      </c>
      <c r="E56" s="19">
        <f t="shared" ref="E56:T56" si="23">E57</f>
        <v>32000</v>
      </c>
      <c r="F56" s="19">
        <f t="shared" si="23"/>
        <v>32000</v>
      </c>
      <c r="G56" s="19">
        <f t="shared" si="23"/>
        <v>0</v>
      </c>
      <c r="H56" s="850">
        <f>H57</f>
        <v>0</v>
      </c>
      <c r="I56" s="19">
        <f t="shared" si="23"/>
        <v>0</v>
      </c>
      <c r="J56" s="19">
        <f t="shared" si="23"/>
        <v>32000</v>
      </c>
      <c r="K56" s="19">
        <f t="shared" si="23"/>
        <v>32000</v>
      </c>
      <c r="L56" s="19">
        <f t="shared" si="23"/>
        <v>0</v>
      </c>
      <c r="M56" s="19">
        <f>M57</f>
        <v>0</v>
      </c>
      <c r="N56" s="19">
        <f>N57</f>
        <v>0</v>
      </c>
      <c r="O56" s="19">
        <f t="shared" si="23"/>
        <v>32000</v>
      </c>
      <c r="P56" s="19">
        <f t="shared" si="23"/>
        <v>32000</v>
      </c>
      <c r="Q56" s="19">
        <f>Q57</f>
        <v>0</v>
      </c>
      <c r="R56" s="19">
        <f t="shared" si="23"/>
        <v>0</v>
      </c>
      <c r="S56" s="19">
        <f>S57</f>
        <v>0</v>
      </c>
      <c r="T56" s="19">
        <f t="shared" si="23"/>
        <v>0</v>
      </c>
      <c r="U56" s="850">
        <f t="shared" si="22"/>
        <v>0</v>
      </c>
      <c r="V56" s="19">
        <f>V57</f>
        <v>0</v>
      </c>
      <c r="W56" s="19">
        <f>W57</f>
        <v>24000</v>
      </c>
      <c r="X56" s="19">
        <f t="shared" si="1"/>
        <v>216000</v>
      </c>
      <c r="Y56" s="1122"/>
      <c r="Z56" s="1122"/>
    </row>
    <row r="57" spans="1:26" ht="20.100000000000001" customHeight="1">
      <c r="A57" s="90" t="s">
        <v>152</v>
      </c>
      <c r="B57" s="91" t="s">
        <v>213</v>
      </c>
      <c r="C57" s="91" t="s">
        <v>35</v>
      </c>
      <c r="D57" s="102" t="s">
        <v>2386</v>
      </c>
      <c r="E57" s="22">
        <v>32000</v>
      </c>
      <c r="F57" s="22">
        <v>32000</v>
      </c>
      <c r="G57" s="22"/>
      <c r="H57" s="851"/>
      <c r="I57" s="22"/>
      <c r="J57" s="22">
        <v>32000</v>
      </c>
      <c r="K57" s="22">
        <v>32000</v>
      </c>
      <c r="L57" s="22"/>
      <c r="M57" s="22"/>
      <c r="N57" s="22"/>
      <c r="O57" s="22">
        <v>32000</v>
      </c>
      <c r="P57" s="22">
        <v>32000</v>
      </c>
      <c r="Q57" s="22"/>
      <c r="R57" s="22"/>
      <c r="S57" s="22"/>
      <c r="T57" s="22"/>
      <c r="U57" s="851"/>
      <c r="V57" s="22"/>
      <c r="W57" s="22">
        <v>24000</v>
      </c>
      <c r="X57" s="19">
        <f t="shared" si="1"/>
        <v>216000</v>
      </c>
      <c r="Y57" s="1122"/>
      <c r="Z57" s="1122"/>
    </row>
    <row r="58" spans="1:26" ht="20.100000000000001" customHeight="1">
      <c r="A58" s="90" t="s">
        <v>154</v>
      </c>
      <c r="B58" s="91" t="s">
        <v>2387</v>
      </c>
      <c r="C58" s="91"/>
      <c r="D58" s="92" t="s">
        <v>28</v>
      </c>
      <c r="E58" s="19">
        <f t="shared" ref="E58:W58" si="24">E59+E61</f>
        <v>28950</v>
      </c>
      <c r="F58" s="19">
        <f t="shared" si="24"/>
        <v>33100</v>
      </c>
      <c r="G58" s="19">
        <f t="shared" si="24"/>
        <v>0</v>
      </c>
      <c r="H58" s="850">
        <f>H59+H61</f>
        <v>5600</v>
      </c>
      <c r="I58" s="19">
        <f t="shared" si="24"/>
        <v>0</v>
      </c>
      <c r="J58" s="19">
        <f t="shared" si="24"/>
        <v>42200</v>
      </c>
      <c r="K58" s="19">
        <f t="shared" si="24"/>
        <v>45100</v>
      </c>
      <c r="L58" s="19">
        <f t="shared" si="24"/>
        <v>1100</v>
      </c>
      <c r="M58" s="19">
        <f>M59+M61</f>
        <v>9000</v>
      </c>
      <c r="N58" s="19">
        <f>N59+N61</f>
        <v>1250</v>
      </c>
      <c r="O58" s="19">
        <f t="shared" si="24"/>
        <v>14200</v>
      </c>
      <c r="P58" s="19">
        <f t="shared" si="24"/>
        <v>17900</v>
      </c>
      <c r="Q58" s="19">
        <f>Q59+Q61</f>
        <v>4500</v>
      </c>
      <c r="R58" s="19">
        <f t="shared" si="24"/>
        <v>2400</v>
      </c>
      <c r="S58" s="19">
        <f>S59+S61</f>
        <v>3000</v>
      </c>
      <c r="T58" s="19">
        <f t="shared" si="24"/>
        <v>2000</v>
      </c>
      <c r="U58" s="850">
        <f t="shared" si="24"/>
        <v>5500</v>
      </c>
      <c r="V58" s="19">
        <f t="shared" si="24"/>
        <v>4500</v>
      </c>
      <c r="W58" s="19">
        <f t="shared" si="24"/>
        <v>7800</v>
      </c>
      <c r="X58" s="19">
        <f t="shared" si="1"/>
        <v>228100</v>
      </c>
      <c r="Y58" s="1122"/>
      <c r="Z58" s="1122"/>
    </row>
    <row r="59" spans="1:26" ht="20.100000000000001" customHeight="1">
      <c r="A59" s="90" t="s">
        <v>156</v>
      </c>
      <c r="B59" s="91" t="s">
        <v>2388</v>
      </c>
      <c r="C59" s="91" t="s">
        <v>35</v>
      </c>
      <c r="D59" s="92" t="s">
        <v>28</v>
      </c>
      <c r="E59" s="19">
        <f t="shared" ref="E59:T59" si="25">E60</f>
        <v>26400</v>
      </c>
      <c r="F59" s="19">
        <f t="shared" si="25"/>
        <v>25600</v>
      </c>
      <c r="G59" s="19">
        <f t="shared" si="25"/>
        <v>0</v>
      </c>
      <c r="H59" s="850">
        <f>H60</f>
        <v>0</v>
      </c>
      <c r="I59" s="19">
        <f t="shared" si="25"/>
        <v>0</v>
      </c>
      <c r="J59" s="19">
        <f t="shared" si="25"/>
        <v>40800</v>
      </c>
      <c r="K59" s="19">
        <f t="shared" si="25"/>
        <v>40000</v>
      </c>
      <c r="L59" s="19">
        <f t="shared" si="25"/>
        <v>0</v>
      </c>
      <c r="M59" s="19">
        <f>M60</f>
        <v>0</v>
      </c>
      <c r="N59" s="19">
        <f>N60</f>
        <v>0</v>
      </c>
      <c r="O59" s="19">
        <f t="shared" si="25"/>
        <v>9600</v>
      </c>
      <c r="P59" s="19">
        <f t="shared" si="25"/>
        <v>10000</v>
      </c>
      <c r="Q59" s="19">
        <f>Q60</f>
        <v>400</v>
      </c>
      <c r="R59" s="19">
        <f t="shared" si="25"/>
        <v>0</v>
      </c>
      <c r="S59" s="19">
        <f>S60</f>
        <v>0</v>
      </c>
      <c r="T59" s="19">
        <f t="shared" si="25"/>
        <v>0</v>
      </c>
      <c r="U59" s="850">
        <f t="shared" si="22"/>
        <v>0</v>
      </c>
      <c r="V59" s="19">
        <f>V60</f>
        <v>0</v>
      </c>
      <c r="W59" s="19">
        <f>W60</f>
        <v>7200</v>
      </c>
      <c r="X59" s="19">
        <f t="shared" si="1"/>
        <v>160000</v>
      </c>
      <c r="Y59" s="1122"/>
      <c r="Z59" s="1122"/>
    </row>
    <row r="60" spans="1:26" s="96" customFormat="1" ht="20.100000000000001" customHeight="1">
      <c r="A60" s="90" t="s">
        <v>158</v>
      </c>
      <c r="B60" s="95" t="s">
        <v>227</v>
      </c>
      <c r="C60" s="95" t="s">
        <v>35</v>
      </c>
      <c r="D60" s="103" t="s">
        <v>2389</v>
      </c>
      <c r="E60" s="22">
        <v>26400</v>
      </c>
      <c r="F60" s="22">
        <f>64*400</f>
        <v>25600</v>
      </c>
      <c r="G60" s="22"/>
      <c r="H60" s="851"/>
      <c r="I60" s="22"/>
      <c r="J60" s="22">
        <v>40800</v>
      </c>
      <c r="K60" s="22">
        <v>40000</v>
      </c>
      <c r="L60" s="22"/>
      <c r="M60" s="22"/>
      <c r="N60" s="22"/>
      <c r="O60" s="22">
        <v>9600</v>
      </c>
      <c r="P60" s="22">
        <v>10000</v>
      </c>
      <c r="Q60" s="22">
        <v>400</v>
      </c>
      <c r="R60" s="22"/>
      <c r="S60" s="22"/>
      <c r="T60" s="22"/>
      <c r="U60" s="851"/>
      <c r="V60" s="22"/>
      <c r="W60" s="22">
        <v>7200</v>
      </c>
      <c r="X60" s="19">
        <f t="shared" si="1"/>
        <v>160000</v>
      </c>
      <c r="Y60" s="1122"/>
      <c r="Z60" s="1122"/>
    </row>
    <row r="61" spans="1:26" ht="20.100000000000001" customHeight="1">
      <c r="A61" s="90" t="s">
        <v>160</v>
      </c>
      <c r="B61" s="91" t="s">
        <v>2390</v>
      </c>
      <c r="C61" s="91" t="s">
        <v>35</v>
      </c>
      <c r="D61" s="102" t="s">
        <v>2391</v>
      </c>
      <c r="E61" s="104">
        <v>2550</v>
      </c>
      <c r="F61" s="104">
        <v>7500</v>
      </c>
      <c r="G61" s="104"/>
      <c r="H61" s="852">
        <v>5600</v>
      </c>
      <c r="I61" s="104"/>
      <c r="J61" s="104">
        <v>1400</v>
      </c>
      <c r="K61" s="104">
        <v>5100</v>
      </c>
      <c r="L61" s="104">
        <v>1100</v>
      </c>
      <c r="M61" s="104">
        <v>9000</v>
      </c>
      <c r="N61" s="104">
        <f>450+4*50*4</f>
        <v>1250</v>
      </c>
      <c r="O61" s="104">
        <v>4600</v>
      </c>
      <c r="P61" s="104">
        <v>7900</v>
      </c>
      <c r="Q61" s="104">
        <v>4100</v>
      </c>
      <c r="R61" s="104">
        <f>2400</f>
        <v>2400</v>
      </c>
      <c r="S61" s="104">
        <v>3000</v>
      </c>
      <c r="T61" s="104">
        <v>2000</v>
      </c>
      <c r="U61" s="852">
        <v>5500</v>
      </c>
      <c r="V61" s="104">
        <v>4500</v>
      </c>
      <c r="W61" s="104">
        <v>600</v>
      </c>
      <c r="X61" s="19">
        <f t="shared" si="1"/>
        <v>68100</v>
      </c>
      <c r="Y61" s="1122"/>
      <c r="Z61" s="1122"/>
    </row>
    <row r="62" spans="1:26" ht="20.100000000000001" customHeight="1">
      <c r="A62" s="90" t="s">
        <v>162</v>
      </c>
      <c r="B62" s="91" t="s">
        <v>2392</v>
      </c>
      <c r="C62" s="91"/>
      <c r="D62" s="92" t="s">
        <v>28</v>
      </c>
      <c r="E62" s="19">
        <f t="shared" ref="E62:W62" si="26">E63</f>
        <v>0</v>
      </c>
      <c r="F62" s="19">
        <f t="shared" si="26"/>
        <v>0</v>
      </c>
      <c r="G62" s="19">
        <f t="shared" si="26"/>
        <v>32000</v>
      </c>
      <c r="H62" s="850">
        <f>H63</f>
        <v>32000</v>
      </c>
      <c r="I62" s="19">
        <f t="shared" si="26"/>
        <v>32000</v>
      </c>
      <c r="J62" s="19">
        <f t="shared" si="26"/>
        <v>10000</v>
      </c>
      <c r="K62" s="19">
        <f t="shared" si="26"/>
        <v>0</v>
      </c>
      <c r="L62" s="19">
        <f t="shared" si="26"/>
        <v>32000</v>
      </c>
      <c r="M62" s="19">
        <f>M63</f>
        <v>32000</v>
      </c>
      <c r="N62" s="19">
        <f>N63</f>
        <v>32000</v>
      </c>
      <c r="O62" s="19">
        <f t="shared" si="26"/>
        <v>5000</v>
      </c>
      <c r="P62" s="19">
        <f t="shared" si="26"/>
        <v>5000</v>
      </c>
      <c r="Q62" s="19">
        <f>Q63</f>
        <v>32000</v>
      </c>
      <c r="R62" s="19">
        <f t="shared" si="26"/>
        <v>25000</v>
      </c>
      <c r="S62" s="19">
        <f>S63</f>
        <v>10000</v>
      </c>
      <c r="T62" s="19">
        <f t="shared" si="26"/>
        <v>10000</v>
      </c>
      <c r="U62" s="850">
        <f t="shared" si="26"/>
        <v>32000</v>
      </c>
      <c r="V62" s="19">
        <f t="shared" si="26"/>
        <v>32000</v>
      </c>
      <c r="W62" s="19">
        <f t="shared" si="26"/>
        <v>0</v>
      </c>
      <c r="X62" s="19">
        <f t="shared" si="1"/>
        <v>353000</v>
      </c>
      <c r="Y62" s="1122"/>
      <c r="Z62" s="1122"/>
    </row>
    <row r="63" spans="1:26" ht="20.100000000000001" customHeight="1">
      <c r="A63" s="90" t="s">
        <v>164</v>
      </c>
      <c r="B63" s="853" t="s">
        <v>237</v>
      </c>
      <c r="C63" s="91" t="s">
        <v>35</v>
      </c>
      <c r="D63" s="102" t="s">
        <v>2393</v>
      </c>
      <c r="E63" s="99"/>
      <c r="F63" s="99"/>
      <c r="G63" s="99">
        <v>32000</v>
      </c>
      <c r="H63" s="852">
        <v>32000</v>
      </c>
      <c r="I63" s="99">
        <v>32000</v>
      </c>
      <c r="J63" s="99">
        <v>10000</v>
      </c>
      <c r="K63" s="99"/>
      <c r="L63" s="99">
        <v>32000</v>
      </c>
      <c r="M63" s="99">
        <v>32000</v>
      </c>
      <c r="N63" s="99">
        <v>32000</v>
      </c>
      <c r="O63" s="99">
        <v>5000</v>
      </c>
      <c r="P63" s="99">
        <v>5000</v>
      </c>
      <c r="Q63" s="99">
        <v>32000</v>
      </c>
      <c r="R63" s="99">
        <v>25000</v>
      </c>
      <c r="S63" s="99">
        <v>10000</v>
      </c>
      <c r="T63" s="99">
        <v>10000</v>
      </c>
      <c r="U63" s="852">
        <v>32000</v>
      </c>
      <c r="V63" s="99">
        <v>32000</v>
      </c>
      <c r="W63" s="99"/>
      <c r="X63" s="19">
        <f t="shared" si="1"/>
        <v>353000</v>
      </c>
      <c r="Y63" s="1123"/>
      <c r="Z63" s="1123"/>
    </row>
    <row r="64" spans="1:26" ht="20.100000000000001" customHeight="1">
      <c r="A64" s="854" t="s">
        <v>168</v>
      </c>
      <c r="B64" s="109" t="s">
        <v>240</v>
      </c>
      <c r="C64" s="109"/>
      <c r="D64" s="110"/>
      <c r="E64" s="111"/>
      <c r="F64" s="111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855">
        <f t="shared" si="1"/>
        <v>0</v>
      </c>
      <c r="Y64" s="856"/>
      <c r="Z64" s="104"/>
    </row>
    <row r="65" spans="1:26" ht="20.100000000000001" customHeight="1">
      <c r="A65" s="90" t="s">
        <v>170</v>
      </c>
      <c r="B65" s="91" t="s">
        <v>242</v>
      </c>
      <c r="C65" s="91"/>
      <c r="D65" s="92" t="s">
        <v>2394</v>
      </c>
      <c r="E65" s="19">
        <f t="shared" ref="E65:W65" si="27">E66+E67+E68+E69</f>
        <v>82</v>
      </c>
      <c r="F65" s="19">
        <f t="shared" si="27"/>
        <v>84</v>
      </c>
      <c r="G65" s="19">
        <f t="shared" si="27"/>
        <v>84</v>
      </c>
      <c r="H65" s="19">
        <f>H66+H67+H68+H69</f>
        <v>81</v>
      </c>
      <c r="I65" s="19">
        <f t="shared" si="27"/>
        <v>23</v>
      </c>
      <c r="J65" s="19">
        <f t="shared" si="27"/>
        <v>98</v>
      </c>
      <c r="K65" s="19">
        <f t="shared" si="27"/>
        <v>80</v>
      </c>
      <c r="L65" s="19">
        <f t="shared" si="27"/>
        <v>55</v>
      </c>
      <c r="M65" s="19">
        <f>M66+M67+M68+M69</f>
        <v>89</v>
      </c>
      <c r="N65" s="19">
        <f>N66+N67+N68+N69</f>
        <v>64</v>
      </c>
      <c r="O65" s="19">
        <f t="shared" si="27"/>
        <v>58</v>
      </c>
      <c r="P65" s="19">
        <f t="shared" si="27"/>
        <v>60</v>
      </c>
      <c r="Q65" s="19">
        <f>Q66+Q67+Q68+Q69</f>
        <v>55</v>
      </c>
      <c r="R65" s="19">
        <f t="shared" si="27"/>
        <v>18</v>
      </c>
      <c r="S65" s="19">
        <f>S66+S67+S68+S69</f>
        <v>23</v>
      </c>
      <c r="T65" s="19">
        <f t="shared" si="27"/>
        <v>24</v>
      </c>
      <c r="U65" s="19">
        <f t="shared" si="27"/>
        <v>39</v>
      </c>
      <c r="V65" s="19">
        <f t="shared" si="27"/>
        <v>38</v>
      </c>
      <c r="W65" s="19">
        <f t="shared" si="27"/>
        <v>6</v>
      </c>
      <c r="X65" s="19">
        <f t="shared" si="1"/>
        <v>1061</v>
      </c>
      <c r="Y65" s="779">
        <v>1012</v>
      </c>
      <c r="Z65" s="104">
        <f>X65-Y65</f>
        <v>49</v>
      </c>
    </row>
    <row r="66" spans="1:26" ht="20.100000000000001" customHeight="1">
      <c r="A66" s="90" t="s">
        <v>172</v>
      </c>
      <c r="B66" s="113" t="s">
        <v>245</v>
      </c>
      <c r="C66" s="113"/>
      <c r="D66" s="98"/>
      <c r="E66" s="99">
        <v>82</v>
      </c>
      <c r="F66" s="99">
        <v>84</v>
      </c>
      <c r="G66" s="99">
        <v>45</v>
      </c>
      <c r="H66" s="99">
        <v>81</v>
      </c>
      <c r="I66" s="99">
        <v>23</v>
      </c>
      <c r="J66" s="99"/>
      <c r="K66" s="99"/>
      <c r="L66" s="99"/>
      <c r="M66" s="99"/>
      <c r="N66" s="99"/>
      <c r="O66" s="99"/>
      <c r="P66" s="99"/>
      <c r="Q66" s="99"/>
      <c r="R66" s="99"/>
      <c r="S66" s="99"/>
      <c r="T66" s="99"/>
      <c r="U66" s="99"/>
      <c r="V66" s="99"/>
      <c r="W66" s="99"/>
      <c r="X66" s="19">
        <f t="shared" si="1"/>
        <v>315</v>
      </c>
      <c r="Y66" s="779">
        <v>285</v>
      </c>
      <c r="Z66" s="104">
        <f t="shared" ref="Z66:Z78" si="28">X66-Y66</f>
        <v>30</v>
      </c>
    </row>
    <row r="67" spans="1:26" ht="20.100000000000001" customHeight="1">
      <c r="A67" s="90" t="s">
        <v>174</v>
      </c>
      <c r="B67" s="113" t="s">
        <v>247</v>
      </c>
      <c r="C67" s="113"/>
      <c r="D67" s="92"/>
      <c r="E67" s="22"/>
      <c r="F67" s="22"/>
      <c r="G67" s="22">
        <v>39</v>
      </c>
      <c r="H67" s="22"/>
      <c r="I67" s="22">
        <v>0</v>
      </c>
      <c r="J67" s="22">
        <v>98</v>
      </c>
      <c r="K67" s="22">
        <v>80</v>
      </c>
      <c r="L67" s="22">
        <v>55</v>
      </c>
      <c r="M67" s="22">
        <v>89</v>
      </c>
      <c r="N67" s="22">
        <v>64</v>
      </c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ref="X67:X78" si="29">SUM(E67:W67)</f>
        <v>425</v>
      </c>
      <c r="Y67" s="779">
        <v>410</v>
      </c>
      <c r="Z67" s="104">
        <f t="shared" si="28"/>
        <v>15</v>
      </c>
    </row>
    <row r="68" spans="1:26" ht="20.100000000000001" customHeight="1">
      <c r="A68" s="90" t="s">
        <v>176</v>
      </c>
      <c r="B68" s="113" t="s">
        <v>249</v>
      </c>
      <c r="C68" s="113"/>
      <c r="D68" s="98"/>
      <c r="E68" s="99"/>
      <c r="F68" s="99"/>
      <c r="G68" s="99"/>
      <c r="H68" s="99"/>
      <c r="I68" s="99">
        <v>0</v>
      </c>
      <c r="J68" s="99"/>
      <c r="K68" s="99"/>
      <c r="L68" s="99"/>
      <c r="M68" s="99"/>
      <c r="N68" s="99"/>
      <c r="O68" s="99">
        <v>58</v>
      </c>
      <c r="P68" s="99">
        <v>60</v>
      </c>
      <c r="Q68" s="99">
        <v>55</v>
      </c>
      <c r="R68" s="99">
        <v>18</v>
      </c>
      <c r="S68" s="99">
        <v>23</v>
      </c>
      <c r="T68" s="99">
        <v>24</v>
      </c>
      <c r="U68" s="99">
        <v>39</v>
      </c>
      <c r="V68" s="99">
        <v>38</v>
      </c>
      <c r="W68" s="99"/>
      <c r="X68" s="19">
        <f t="shared" si="29"/>
        <v>315</v>
      </c>
      <c r="Y68" s="779">
        <v>311</v>
      </c>
      <c r="Z68" s="104">
        <f t="shared" si="28"/>
        <v>4</v>
      </c>
    </row>
    <row r="69" spans="1:26" ht="20.100000000000001" customHeight="1">
      <c r="A69" s="90" t="s">
        <v>178</v>
      </c>
      <c r="B69" s="113" t="s">
        <v>251</v>
      </c>
      <c r="C69" s="113"/>
      <c r="D69" s="98"/>
      <c r="E69" s="99"/>
      <c r="F69" s="99"/>
      <c r="G69" s="99"/>
      <c r="H69" s="99"/>
      <c r="I69" s="99">
        <v>0</v>
      </c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>
        <v>6</v>
      </c>
      <c r="X69" s="19">
        <f t="shared" si="29"/>
        <v>6</v>
      </c>
      <c r="Y69" s="779">
        <v>6</v>
      </c>
      <c r="Z69" s="104">
        <f t="shared" si="28"/>
        <v>0</v>
      </c>
    </row>
    <row r="70" spans="1:26" ht="20.100000000000001" customHeight="1">
      <c r="A70" s="90" t="s">
        <v>180</v>
      </c>
      <c r="B70" s="91" t="s">
        <v>253</v>
      </c>
      <c r="C70" s="91"/>
      <c r="D70" s="92" t="s">
        <v>2395</v>
      </c>
      <c r="E70" s="19">
        <f t="shared" ref="E70:W70" si="30">E71+E72+E73+E74</f>
        <v>1022</v>
      </c>
      <c r="F70" s="19">
        <f t="shared" si="30"/>
        <v>1090</v>
      </c>
      <c r="G70" s="19">
        <f t="shared" si="30"/>
        <v>1161</v>
      </c>
      <c r="H70" s="19">
        <f>H71+H72+H73+H74</f>
        <v>1155</v>
      </c>
      <c r="I70" s="19">
        <f t="shared" si="30"/>
        <v>410</v>
      </c>
      <c r="J70" s="19">
        <f t="shared" si="30"/>
        <v>1614</v>
      </c>
      <c r="K70" s="19">
        <f t="shared" si="30"/>
        <v>1170</v>
      </c>
      <c r="L70" s="19">
        <f t="shared" si="30"/>
        <v>1035</v>
      </c>
      <c r="M70" s="19">
        <f>M71+M72+M73+M74</f>
        <v>1415</v>
      </c>
      <c r="N70" s="19">
        <f>N71+N72+N73+N74</f>
        <v>1096</v>
      </c>
      <c r="O70" s="19">
        <f t="shared" si="30"/>
        <v>644</v>
      </c>
      <c r="P70" s="19">
        <f t="shared" si="30"/>
        <v>899</v>
      </c>
      <c r="Q70" s="19">
        <f>Q71+Q72+Q73+Q74</f>
        <v>707</v>
      </c>
      <c r="R70" s="19">
        <f t="shared" si="30"/>
        <v>293</v>
      </c>
      <c r="S70" s="19">
        <f>S71+S72+S73+S74</f>
        <v>386</v>
      </c>
      <c r="T70" s="19">
        <f t="shared" si="30"/>
        <v>435</v>
      </c>
      <c r="U70" s="19">
        <f t="shared" si="30"/>
        <v>453</v>
      </c>
      <c r="V70" s="19">
        <f t="shared" si="30"/>
        <v>598</v>
      </c>
      <c r="W70" s="19">
        <f t="shared" si="30"/>
        <v>0</v>
      </c>
      <c r="X70" s="19">
        <f t="shared" si="29"/>
        <v>15583</v>
      </c>
      <c r="Y70" s="779">
        <v>13841</v>
      </c>
      <c r="Z70" s="104">
        <f t="shared" si="28"/>
        <v>1742</v>
      </c>
    </row>
    <row r="71" spans="1:26" ht="20.100000000000001" customHeight="1">
      <c r="A71" s="90" t="s">
        <v>182</v>
      </c>
      <c r="B71" s="113" t="s">
        <v>245</v>
      </c>
      <c r="C71" s="113"/>
      <c r="D71" s="98"/>
      <c r="E71" s="99">
        <v>1022</v>
      </c>
      <c r="F71" s="99">
        <v>1090</v>
      </c>
      <c r="G71" s="99">
        <v>495</v>
      </c>
      <c r="H71" s="99">
        <v>1155</v>
      </c>
      <c r="I71" s="99">
        <v>410</v>
      </c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/>
      <c r="X71" s="19">
        <f t="shared" si="29"/>
        <v>4172</v>
      </c>
      <c r="Y71" s="779">
        <v>3376</v>
      </c>
      <c r="Z71" s="104">
        <f t="shared" si="28"/>
        <v>796</v>
      </c>
    </row>
    <row r="72" spans="1:26" ht="20.100000000000001" customHeight="1">
      <c r="A72" s="90" t="s">
        <v>184</v>
      </c>
      <c r="B72" s="113" t="s">
        <v>247</v>
      </c>
      <c r="C72" s="113"/>
      <c r="D72" s="92"/>
      <c r="E72" s="22"/>
      <c r="F72" s="22"/>
      <c r="G72" s="22">
        <v>666</v>
      </c>
      <c r="H72" s="22"/>
      <c r="I72" s="22"/>
      <c r="J72" s="22">
        <v>1614</v>
      </c>
      <c r="K72" s="22">
        <v>1170</v>
      </c>
      <c r="L72" s="22">
        <v>1035</v>
      </c>
      <c r="M72" s="22">
        <v>1415</v>
      </c>
      <c r="N72" s="22">
        <v>1096</v>
      </c>
      <c r="O72" s="22"/>
      <c r="P72" s="22"/>
      <c r="Q72" s="22"/>
      <c r="R72" s="22"/>
      <c r="S72" s="22"/>
      <c r="T72" s="22"/>
      <c r="U72" s="22"/>
      <c r="V72" s="22"/>
      <c r="W72" s="22"/>
      <c r="X72" s="19">
        <f t="shared" si="29"/>
        <v>6996</v>
      </c>
      <c r="Y72" s="779">
        <v>6220</v>
      </c>
      <c r="Z72" s="104">
        <f t="shared" si="28"/>
        <v>776</v>
      </c>
    </row>
    <row r="73" spans="1:26" ht="20.100000000000001" customHeight="1">
      <c r="A73" s="90" t="s">
        <v>187</v>
      </c>
      <c r="B73" s="113" t="s">
        <v>249</v>
      </c>
      <c r="C73" s="113"/>
      <c r="D73" s="98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99">
        <v>644</v>
      </c>
      <c r="P73" s="99">
        <v>899</v>
      </c>
      <c r="Q73" s="99">
        <v>707</v>
      </c>
      <c r="R73" s="99">
        <v>293</v>
      </c>
      <c r="S73" s="99">
        <v>386</v>
      </c>
      <c r="T73" s="99">
        <v>435</v>
      </c>
      <c r="U73" s="99">
        <v>453</v>
      </c>
      <c r="V73" s="99">
        <v>598</v>
      </c>
      <c r="W73" s="99"/>
      <c r="X73" s="19">
        <f t="shared" si="29"/>
        <v>4415</v>
      </c>
      <c r="Y73" s="779">
        <v>4245</v>
      </c>
      <c r="Z73" s="104">
        <f t="shared" si="28"/>
        <v>170</v>
      </c>
    </row>
    <row r="74" spans="1:26" ht="20.100000000000001" customHeight="1">
      <c r="A74" s="90" t="s">
        <v>189</v>
      </c>
      <c r="B74" s="113" t="s">
        <v>251</v>
      </c>
      <c r="C74" s="113"/>
      <c r="D74" s="98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99"/>
      <c r="U74" s="99"/>
      <c r="V74" s="99"/>
      <c r="W74" s="99"/>
      <c r="X74" s="19">
        <f t="shared" si="29"/>
        <v>0</v>
      </c>
      <c r="Y74" s="779">
        <v>0</v>
      </c>
      <c r="Z74" s="104">
        <f t="shared" si="28"/>
        <v>0</v>
      </c>
    </row>
    <row r="75" spans="1:26" ht="20.100000000000001" customHeight="1">
      <c r="A75" s="90" t="s">
        <v>192</v>
      </c>
      <c r="B75" s="91" t="s">
        <v>260</v>
      </c>
      <c r="C75" s="91"/>
      <c r="D75" s="102"/>
      <c r="E75" s="114"/>
      <c r="F75" s="114"/>
      <c r="G75" s="114"/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14"/>
      <c r="X75" s="19">
        <f t="shared" si="29"/>
        <v>0</v>
      </c>
      <c r="Y75" s="779">
        <v>0</v>
      </c>
      <c r="Z75" s="104">
        <f t="shared" si="28"/>
        <v>0</v>
      </c>
    </row>
    <row r="76" spans="1:26" ht="20.100000000000001" customHeight="1">
      <c r="A76" s="90" t="s">
        <v>194</v>
      </c>
      <c r="B76" s="91" t="s">
        <v>261</v>
      </c>
      <c r="C76" s="91"/>
      <c r="D76" s="92"/>
      <c r="E76" s="22">
        <v>66</v>
      </c>
      <c r="F76" s="22">
        <v>64</v>
      </c>
      <c r="G76" s="22"/>
      <c r="H76" s="22"/>
      <c r="I76" s="22"/>
      <c r="J76" s="22">
        <v>102</v>
      </c>
      <c r="K76" s="22">
        <v>99</v>
      </c>
      <c r="L76" s="22"/>
      <c r="M76" s="22"/>
      <c r="N76" s="22"/>
      <c r="O76" s="22">
        <v>24</v>
      </c>
      <c r="P76" s="22">
        <v>25</v>
      </c>
      <c r="Q76" s="22">
        <v>1</v>
      </c>
      <c r="R76" s="22"/>
      <c r="S76" s="22"/>
      <c r="T76" s="22"/>
      <c r="U76" s="22"/>
      <c r="V76" s="22"/>
      <c r="W76" s="22">
        <v>17</v>
      </c>
      <c r="X76" s="19">
        <f t="shared" si="29"/>
        <v>398</v>
      </c>
      <c r="Y76" s="779">
        <v>399</v>
      </c>
      <c r="Z76" s="114">
        <f t="shared" si="28"/>
        <v>-1</v>
      </c>
    </row>
    <row r="77" spans="1:26" ht="20.100000000000001" customHeight="1">
      <c r="A77" s="90" t="s">
        <v>197</v>
      </c>
      <c r="B77" s="113" t="s">
        <v>262</v>
      </c>
      <c r="C77" s="113"/>
      <c r="D77" s="102"/>
      <c r="E77" s="22">
        <v>17063</v>
      </c>
      <c r="F77" s="22">
        <v>11923</v>
      </c>
      <c r="G77" s="22">
        <v>47723.69</v>
      </c>
      <c r="H77" s="22">
        <v>12788.7</v>
      </c>
      <c r="I77" s="22">
        <v>15865.86</v>
      </c>
      <c r="J77" s="22">
        <v>23546.35</v>
      </c>
      <c r="K77" s="22">
        <v>16490.189999999999</v>
      </c>
      <c r="L77" s="22">
        <v>16648.97</v>
      </c>
      <c r="M77" s="22">
        <v>21871.439999999999</v>
      </c>
      <c r="N77" s="22">
        <v>11914.29</v>
      </c>
      <c r="O77" s="22">
        <v>7654.77</v>
      </c>
      <c r="P77" s="22">
        <v>12113.78</v>
      </c>
      <c r="Q77" s="22">
        <v>10438.120000000001</v>
      </c>
      <c r="R77" s="22">
        <v>6080</v>
      </c>
      <c r="S77" s="22">
        <v>5747.79</v>
      </c>
      <c r="T77" s="22">
        <v>11939.6</v>
      </c>
      <c r="U77" s="22">
        <v>11286</v>
      </c>
      <c r="V77" s="22">
        <v>13520</v>
      </c>
      <c r="W77" s="22">
        <v>5648</v>
      </c>
      <c r="X77" s="19">
        <f t="shared" si="29"/>
        <v>280263.55000000005</v>
      </c>
      <c r="Y77" s="849">
        <v>280263.55000000005</v>
      </c>
      <c r="Z77" s="104">
        <f t="shared" si="28"/>
        <v>0</v>
      </c>
    </row>
    <row r="78" spans="1:26" ht="20.100000000000001" customHeight="1">
      <c r="A78" s="90" t="s">
        <v>199</v>
      </c>
      <c r="B78" s="113" t="s">
        <v>263</v>
      </c>
      <c r="C78" s="113"/>
      <c r="D78" s="102"/>
      <c r="E78" s="22">
        <v>15829</v>
      </c>
      <c r="F78" s="22">
        <v>10360</v>
      </c>
      <c r="G78" s="22">
        <v>16263</v>
      </c>
      <c r="H78" s="22">
        <v>10179</v>
      </c>
      <c r="I78" s="22">
        <v>8547.4500000000007</v>
      </c>
      <c r="J78" s="22">
        <v>19712</v>
      </c>
      <c r="K78" s="22">
        <v>11160</v>
      </c>
      <c r="L78" s="22">
        <v>11125</v>
      </c>
      <c r="M78" s="22">
        <v>15700</v>
      </c>
      <c r="N78" s="22">
        <v>8447.1</v>
      </c>
      <c r="O78" s="22">
        <v>5134</v>
      </c>
      <c r="P78" s="22">
        <v>4330</v>
      </c>
      <c r="Q78" s="22">
        <v>4266</v>
      </c>
      <c r="R78" s="22">
        <v>2500</v>
      </c>
      <c r="S78" s="22">
        <v>2519</v>
      </c>
      <c r="T78" s="22">
        <v>4999</v>
      </c>
      <c r="U78" s="22">
        <v>4627.34</v>
      </c>
      <c r="V78" s="22">
        <v>5045</v>
      </c>
      <c r="W78" s="22">
        <v>2320</v>
      </c>
      <c r="X78" s="19">
        <f t="shared" si="29"/>
        <v>163062.88999999998</v>
      </c>
      <c r="Y78" s="849">
        <v>163062.88999999998</v>
      </c>
      <c r="Z78" s="104">
        <f t="shared" si="28"/>
        <v>0</v>
      </c>
    </row>
    <row r="79" spans="1:26">
      <c r="E79" s="86">
        <v>83.5</v>
      </c>
      <c r="F79" s="86">
        <v>84</v>
      </c>
      <c r="G79" s="86">
        <v>72</v>
      </c>
      <c r="H79" s="86">
        <v>77.5</v>
      </c>
      <c r="I79" s="86">
        <v>17</v>
      </c>
      <c r="J79" s="86">
        <v>98.5</v>
      </c>
      <c r="K79" s="86">
        <v>80</v>
      </c>
      <c r="L79" s="86">
        <v>51.5</v>
      </c>
      <c r="M79" s="86">
        <v>90.5</v>
      </c>
      <c r="N79" s="86">
        <v>62.5</v>
      </c>
      <c r="O79" s="86">
        <v>58</v>
      </c>
      <c r="P79" s="86">
        <v>60.5</v>
      </c>
      <c r="Q79" s="86">
        <v>55</v>
      </c>
      <c r="R79" s="86">
        <v>17.5</v>
      </c>
      <c r="S79" s="86">
        <v>23</v>
      </c>
      <c r="T79" s="86">
        <v>23.5</v>
      </c>
      <c r="U79" s="86">
        <v>38.5</v>
      </c>
      <c r="V79" s="86">
        <v>37</v>
      </c>
      <c r="W79" s="86">
        <v>6</v>
      </c>
      <c r="X79" s="86">
        <v>1036</v>
      </c>
    </row>
    <row r="80" spans="1:26">
      <c r="E80" s="86">
        <f>E4/E79</f>
        <v>383388.29341317358</v>
      </c>
      <c r="F80" s="86">
        <f t="shared" ref="F80:X80" si="31">F4/F79</f>
        <v>378212.39011904754</v>
      </c>
      <c r="G80" s="86">
        <f t="shared" si="31"/>
        <v>363793.23611111112</v>
      </c>
      <c r="H80" s="86">
        <f t="shared" si="31"/>
        <v>363506.47548387101</v>
      </c>
      <c r="I80" s="86">
        <f t="shared" si="31"/>
        <v>381280.0588235294</v>
      </c>
      <c r="J80" s="86">
        <f t="shared" si="31"/>
        <v>356546.90111675131</v>
      </c>
      <c r="K80" s="86">
        <f t="shared" si="31"/>
        <v>364873.326</v>
      </c>
      <c r="L80" s="86">
        <f t="shared" si="31"/>
        <v>356618.51961165044</v>
      </c>
      <c r="M80" s="86">
        <f t="shared" si="31"/>
        <v>366852.26861878455</v>
      </c>
      <c r="N80" s="86">
        <f t="shared" si="31"/>
        <v>347187.03055999998</v>
      </c>
      <c r="O80" s="86">
        <f t="shared" si="31"/>
        <v>324248.44706896553</v>
      </c>
      <c r="P80" s="86">
        <f t="shared" si="31"/>
        <v>326761.80694214877</v>
      </c>
      <c r="Q80" s="86">
        <f t="shared" si="31"/>
        <v>316331.77927272726</v>
      </c>
      <c r="R80" s="86">
        <f t="shared" si="31"/>
        <v>322622.54114285717</v>
      </c>
      <c r="S80" s="86">
        <f t="shared" si="31"/>
        <v>321342.20521739131</v>
      </c>
      <c r="T80" s="86">
        <f t="shared" si="31"/>
        <v>317426.23276595742</v>
      </c>
      <c r="U80" s="86">
        <f t="shared" si="31"/>
        <v>317457.23584415583</v>
      </c>
      <c r="V80" s="86">
        <f t="shared" si="31"/>
        <v>316771.47135135141</v>
      </c>
      <c r="W80" s="86">
        <f t="shared" si="31"/>
        <v>355537.97500000003</v>
      </c>
      <c r="X80" s="86">
        <f t="shared" si="31"/>
        <v>352075.48559845565</v>
      </c>
    </row>
  </sheetData>
  <protectedRanges>
    <protectedRange password="E9C1" sqref="D29 C30 A6:A78 B6:D28 B31:D78 A2:D5 X2:Y78" name="区域1_1"/>
    <protectedRange password="E9C1" sqref="B29:C29 B30" name="区域1_1_1"/>
    <protectedRange password="E9C1" sqref="D30" name="区域1_2"/>
    <protectedRange password="E9C1" sqref="W2:W3" name="区域1_1_2"/>
    <protectedRange password="E9C1" sqref="R2:R3" name="区域1_1_3"/>
    <protectedRange password="E9C1" sqref="P2:P3" name="区域1_1_4"/>
    <protectedRange password="E9C1" sqref="E2:E3" name="区域1_1_5"/>
    <protectedRange password="E9C1" sqref="O2:O3" name="区域1_1_6"/>
    <protectedRange password="E9C1" sqref="J2:J3" name="区域1_1_7"/>
    <protectedRange password="E9C1" sqref="L2:L3" name="区域1_1_8"/>
    <protectedRange password="E9C1" sqref="K2:K3" name="区域1_1_9"/>
    <protectedRange password="E9C1" sqref="F2:F3" name="区域1_1_10"/>
    <protectedRange password="E9C1" sqref="G2:G3" name="区域1_1_11"/>
    <protectedRange password="E9C1" sqref="T2:T3" name="区域1_1_13"/>
    <protectedRange password="E9C1" sqref="V2:V3" name="区域1_1_16"/>
    <protectedRange password="E9C1" sqref="U2:U3" name="区域1_1_17"/>
    <protectedRange password="E9C1" sqref="I2:I3" name="区域1_1_18"/>
    <protectedRange password="E9C1" sqref="Q2:Q3" name="区域1_1_21"/>
    <protectedRange password="E9C1" sqref="S2:S3" name="区域1_1_22"/>
    <protectedRange sqref="S2" name="区域1_1_2_2"/>
    <protectedRange password="E9C1" sqref="N2:N3" name="区域1_1_23"/>
    <protectedRange password="E9C1" sqref="H2:H3" name="区域1_1_24"/>
    <protectedRange password="E9C1" sqref="M2:M3" name="区域1_1_12"/>
  </protectedRanges>
  <mergeCells count="7">
    <mergeCell ref="Y42:Y63"/>
    <mergeCell ref="Z42:Z63"/>
    <mergeCell ref="A1:Z1"/>
    <mergeCell ref="Y4:Y30"/>
    <mergeCell ref="Z4:Z30"/>
    <mergeCell ref="Y31:Y41"/>
    <mergeCell ref="Z31:Z4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0" orientation="landscape" verticalDpi="0" r:id="rId1"/>
  <headerFooter>
    <oddFooter>第 &amp;P 页，共 &amp;N 页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dimension ref="A1:J22"/>
  <sheetViews>
    <sheetView workbookViewId="0">
      <selection activeCell="A23" sqref="A23:XFD118"/>
    </sheetView>
  </sheetViews>
  <sheetFormatPr defaultRowHeight="12"/>
  <cols>
    <col min="1" max="1" width="5.375" style="373" customWidth="1"/>
    <col min="2" max="2" width="26.875" style="511" customWidth="1"/>
    <col min="3" max="3" width="9.75" style="511" customWidth="1"/>
    <col min="4" max="4" width="8" style="511" customWidth="1"/>
    <col min="5" max="5" width="5.75" style="511" customWidth="1"/>
    <col min="6" max="7" width="9.875" style="843" customWidth="1"/>
    <col min="8" max="9" width="10" style="511" customWidth="1"/>
    <col min="10" max="10" width="14" style="511" customWidth="1"/>
    <col min="11" max="16384" width="9" style="511"/>
  </cols>
  <sheetData>
    <row r="1" spans="1:10" ht="20.25">
      <c r="A1" s="1129" t="s">
        <v>2507</v>
      </c>
      <c r="B1" s="1129"/>
      <c r="C1" s="1129"/>
      <c r="D1" s="1129"/>
      <c r="E1" s="1129"/>
      <c r="F1" s="1129"/>
      <c r="G1" s="1129"/>
      <c r="H1" s="1129"/>
      <c r="I1" s="1129"/>
      <c r="J1" s="1129"/>
    </row>
    <row r="2" spans="1:10" ht="24">
      <c r="A2" s="838" t="s">
        <v>1</v>
      </c>
      <c r="B2" s="838" t="s">
        <v>366</v>
      </c>
      <c r="C2" s="838" t="s">
        <v>367</v>
      </c>
      <c r="D2" s="838" t="s">
        <v>368</v>
      </c>
      <c r="E2" s="844" t="s">
        <v>2510</v>
      </c>
      <c r="F2" s="844" t="s">
        <v>2511</v>
      </c>
      <c r="G2" s="844" t="s">
        <v>2512</v>
      </c>
      <c r="H2" s="844" t="s">
        <v>2513</v>
      </c>
      <c r="I2" s="844" t="s">
        <v>2514</v>
      </c>
      <c r="J2" s="838" t="s">
        <v>371</v>
      </c>
    </row>
    <row r="3" spans="1:10" ht="13.5" customHeight="1">
      <c r="A3" s="838">
        <v>1</v>
      </c>
      <c r="B3" s="839" t="s">
        <v>417</v>
      </c>
      <c r="C3" s="839" t="s">
        <v>418</v>
      </c>
      <c r="D3" s="839" t="s">
        <v>374</v>
      </c>
      <c r="E3" s="839">
        <v>85</v>
      </c>
      <c r="F3" s="841">
        <v>82</v>
      </c>
      <c r="G3" s="840">
        <f t="shared" ref="G3:G15" si="0">(E3+F3)/2</f>
        <v>83.5</v>
      </c>
      <c r="H3" s="839">
        <v>191300</v>
      </c>
      <c r="I3" s="839">
        <v>9430</v>
      </c>
      <c r="J3" s="839">
        <f t="shared" ref="J3:J21" si="1">G3*(H3+I3)</f>
        <v>16760955</v>
      </c>
    </row>
    <row r="4" spans="1:10" ht="13.5" customHeight="1">
      <c r="A4" s="838">
        <v>2</v>
      </c>
      <c r="B4" s="839" t="s">
        <v>419</v>
      </c>
      <c r="C4" s="839" t="s">
        <v>418</v>
      </c>
      <c r="D4" s="839" t="s">
        <v>374</v>
      </c>
      <c r="E4" s="839">
        <v>84</v>
      </c>
      <c r="F4" s="841">
        <v>84</v>
      </c>
      <c r="G4" s="840">
        <f t="shared" si="0"/>
        <v>84</v>
      </c>
      <c r="H4" s="839">
        <v>191300</v>
      </c>
      <c r="I4" s="839">
        <v>9430</v>
      </c>
      <c r="J4" s="839">
        <f t="shared" si="1"/>
        <v>16861320</v>
      </c>
    </row>
    <row r="5" spans="1:10" ht="13.5" customHeight="1">
      <c r="A5" s="838">
        <v>3</v>
      </c>
      <c r="B5" s="839" t="s">
        <v>420</v>
      </c>
      <c r="C5" s="839" t="s">
        <v>418</v>
      </c>
      <c r="D5" s="839" t="s">
        <v>374</v>
      </c>
      <c r="E5" s="839">
        <v>74</v>
      </c>
      <c r="F5" s="841">
        <v>81</v>
      </c>
      <c r="G5" s="840">
        <f t="shared" si="0"/>
        <v>77.5</v>
      </c>
      <c r="H5" s="839">
        <v>191300</v>
      </c>
      <c r="I5" s="839">
        <v>9430</v>
      </c>
      <c r="J5" s="839">
        <f t="shared" si="1"/>
        <v>15556575</v>
      </c>
    </row>
    <row r="6" spans="1:10" ht="13.5" customHeight="1">
      <c r="A6" s="838">
        <v>4</v>
      </c>
      <c r="B6" s="839" t="s">
        <v>421</v>
      </c>
      <c r="C6" s="839" t="s">
        <v>418</v>
      </c>
      <c r="D6" s="839" t="s">
        <v>377</v>
      </c>
      <c r="E6" s="839">
        <v>60</v>
      </c>
      <c r="F6" s="841">
        <v>84</v>
      </c>
      <c r="G6" s="840">
        <f t="shared" si="0"/>
        <v>72</v>
      </c>
      <c r="H6" s="839">
        <v>191300</v>
      </c>
      <c r="I6" s="839">
        <v>9430</v>
      </c>
      <c r="J6" s="839">
        <f t="shared" si="1"/>
        <v>14452560</v>
      </c>
    </row>
    <row r="7" spans="1:10" ht="13.5" customHeight="1">
      <c r="A7" s="838">
        <v>5</v>
      </c>
      <c r="B7" s="839" t="s">
        <v>422</v>
      </c>
      <c r="C7" s="839" t="s">
        <v>418</v>
      </c>
      <c r="D7" s="839" t="s">
        <v>379</v>
      </c>
      <c r="E7" s="839">
        <v>99</v>
      </c>
      <c r="F7" s="841">
        <v>98</v>
      </c>
      <c r="G7" s="840">
        <f t="shared" si="0"/>
        <v>98.5</v>
      </c>
      <c r="H7" s="839">
        <v>191300</v>
      </c>
      <c r="I7" s="839">
        <v>9430</v>
      </c>
      <c r="J7" s="839">
        <f t="shared" si="1"/>
        <v>19771905</v>
      </c>
    </row>
    <row r="8" spans="1:10" ht="13.5" customHeight="1">
      <c r="A8" s="838">
        <v>6</v>
      </c>
      <c r="B8" s="839" t="s">
        <v>423</v>
      </c>
      <c r="C8" s="839" t="s">
        <v>418</v>
      </c>
      <c r="D8" s="839" t="s">
        <v>379</v>
      </c>
      <c r="E8" s="839">
        <v>80</v>
      </c>
      <c r="F8" s="841">
        <v>80</v>
      </c>
      <c r="G8" s="840">
        <f t="shared" si="0"/>
        <v>80</v>
      </c>
      <c r="H8" s="839">
        <v>191300</v>
      </c>
      <c r="I8" s="839">
        <v>9430</v>
      </c>
      <c r="J8" s="839">
        <f t="shared" si="1"/>
        <v>16058400</v>
      </c>
    </row>
    <row r="9" spans="1:10" ht="13.5" customHeight="1">
      <c r="A9" s="838">
        <v>7</v>
      </c>
      <c r="B9" s="839" t="s">
        <v>424</v>
      </c>
      <c r="C9" s="839" t="s">
        <v>418</v>
      </c>
      <c r="D9" s="839" t="s">
        <v>379</v>
      </c>
      <c r="E9" s="839">
        <v>92</v>
      </c>
      <c r="F9" s="841">
        <v>89</v>
      </c>
      <c r="G9" s="840">
        <f t="shared" si="0"/>
        <v>90.5</v>
      </c>
      <c r="H9" s="839">
        <v>191300</v>
      </c>
      <c r="I9" s="839">
        <v>9430</v>
      </c>
      <c r="J9" s="839">
        <f t="shared" si="1"/>
        <v>18166065</v>
      </c>
    </row>
    <row r="10" spans="1:10" ht="13.5" customHeight="1">
      <c r="A10" s="838">
        <v>8</v>
      </c>
      <c r="B10" s="839" t="s">
        <v>425</v>
      </c>
      <c r="C10" s="839" t="s">
        <v>418</v>
      </c>
      <c r="D10" s="839" t="s">
        <v>379</v>
      </c>
      <c r="E10" s="839">
        <v>48</v>
      </c>
      <c r="F10" s="841">
        <v>55</v>
      </c>
      <c r="G10" s="840">
        <f t="shared" si="0"/>
        <v>51.5</v>
      </c>
      <c r="H10" s="839">
        <v>191300</v>
      </c>
      <c r="I10" s="839">
        <v>9430</v>
      </c>
      <c r="J10" s="839">
        <f t="shared" si="1"/>
        <v>10337595</v>
      </c>
    </row>
    <row r="11" spans="1:10" ht="13.5" customHeight="1">
      <c r="A11" s="838">
        <v>9</v>
      </c>
      <c r="B11" s="839" t="s">
        <v>2508</v>
      </c>
      <c r="C11" s="839" t="s">
        <v>418</v>
      </c>
      <c r="D11" s="839" t="s">
        <v>379</v>
      </c>
      <c r="E11" s="839">
        <v>61</v>
      </c>
      <c r="F11" s="841">
        <v>64</v>
      </c>
      <c r="G11" s="840">
        <f t="shared" si="0"/>
        <v>62.5</v>
      </c>
      <c r="H11" s="839">
        <v>191300</v>
      </c>
      <c r="I11" s="839">
        <v>9430</v>
      </c>
      <c r="J11" s="839">
        <f t="shared" si="1"/>
        <v>12545625</v>
      </c>
    </row>
    <row r="12" spans="1:10" ht="13.5" customHeight="1">
      <c r="A12" s="838">
        <v>10</v>
      </c>
      <c r="B12" s="839" t="s">
        <v>427</v>
      </c>
      <c r="C12" s="839" t="s">
        <v>418</v>
      </c>
      <c r="D12" s="839" t="s">
        <v>382</v>
      </c>
      <c r="E12" s="839">
        <v>58</v>
      </c>
      <c r="F12" s="841">
        <v>58</v>
      </c>
      <c r="G12" s="840">
        <f t="shared" si="0"/>
        <v>58</v>
      </c>
      <c r="H12" s="839">
        <v>174600</v>
      </c>
      <c r="I12" s="839">
        <v>9430</v>
      </c>
      <c r="J12" s="839">
        <f t="shared" si="1"/>
        <v>10673740</v>
      </c>
    </row>
    <row r="13" spans="1:10" ht="13.5" customHeight="1">
      <c r="A13" s="838">
        <v>11</v>
      </c>
      <c r="B13" s="839" t="s">
        <v>428</v>
      </c>
      <c r="C13" s="839" t="s">
        <v>418</v>
      </c>
      <c r="D13" s="839" t="s">
        <v>382</v>
      </c>
      <c r="E13" s="839">
        <v>61</v>
      </c>
      <c r="F13" s="841">
        <v>60</v>
      </c>
      <c r="G13" s="840">
        <f t="shared" si="0"/>
        <v>60.5</v>
      </c>
      <c r="H13" s="839">
        <v>174600</v>
      </c>
      <c r="I13" s="839">
        <v>9430</v>
      </c>
      <c r="J13" s="839">
        <f t="shared" si="1"/>
        <v>11133815</v>
      </c>
    </row>
    <row r="14" spans="1:10" ht="13.5" customHeight="1">
      <c r="A14" s="838">
        <v>12</v>
      </c>
      <c r="B14" s="839" t="s">
        <v>429</v>
      </c>
      <c r="C14" s="839" t="s">
        <v>418</v>
      </c>
      <c r="D14" s="839" t="s">
        <v>382</v>
      </c>
      <c r="E14" s="839">
        <v>17</v>
      </c>
      <c r="F14" s="841">
        <v>18</v>
      </c>
      <c r="G14" s="840">
        <f t="shared" si="0"/>
        <v>17.5</v>
      </c>
      <c r="H14" s="839">
        <v>174600</v>
      </c>
      <c r="I14" s="839">
        <v>9430</v>
      </c>
      <c r="J14" s="839">
        <f t="shared" si="1"/>
        <v>3220525</v>
      </c>
    </row>
    <row r="15" spans="1:10" ht="13.5" customHeight="1">
      <c r="A15" s="838">
        <v>13</v>
      </c>
      <c r="B15" s="839" t="s">
        <v>430</v>
      </c>
      <c r="C15" s="839" t="s">
        <v>418</v>
      </c>
      <c r="D15" s="839" t="s">
        <v>382</v>
      </c>
      <c r="E15" s="839">
        <v>55</v>
      </c>
      <c r="F15" s="841">
        <v>55</v>
      </c>
      <c r="G15" s="840">
        <f t="shared" si="0"/>
        <v>55</v>
      </c>
      <c r="H15" s="839">
        <v>174600</v>
      </c>
      <c r="I15" s="839">
        <v>9430</v>
      </c>
      <c r="J15" s="839">
        <f t="shared" si="1"/>
        <v>10121650</v>
      </c>
    </row>
    <row r="16" spans="1:10" ht="13.5" customHeight="1">
      <c r="A16" s="838">
        <v>14</v>
      </c>
      <c r="B16" s="839" t="s">
        <v>431</v>
      </c>
      <c r="C16" s="839" t="s">
        <v>418</v>
      </c>
      <c r="D16" s="839" t="s">
        <v>382</v>
      </c>
      <c r="E16" s="839">
        <v>36</v>
      </c>
      <c r="F16" s="841">
        <v>38</v>
      </c>
      <c r="G16" s="840">
        <f t="shared" ref="G16:G22" si="2">(E16+F16)/2</f>
        <v>37</v>
      </c>
      <c r="H16" s="839">
        <v>174600</v>
      </c>
      <c r="I16" s="839">
        <v>9430</v>
      </c>
      <c r="J16" s="839">
        <f t="shared" si="1"/>
        <v>6809110</v>
      </c>
    </row>
    <row r="17" spans="1:10" ht="13.5" customHeight="1">
      <c r="A17" s="838">
        <v>15</v>
      </c>
      <c r="B17" s="839" t="s">
        <v>432</v>
      </c>
      <c r="C17" s="839" t="s">
        <v>418</v>
      </c>
      <c r="D17" s="839" t="s">
        <v>382</v>
      </c>
      <c r="E17" s="839">
        <v>23</v>
      </c>
      <c r="F17" s="841">
        <v>23</v>
      </c>
      <c r="G17" s="840">
        <f t="shared" si="2"/>
        <v>23</v>
      </c>
      <c r="H17" s="839">
        <v>174600</v>
      </c>
      <c r="I17" s="839">
        <v>9430</v>
      </c>
      <c r="J17" s="839">
        <f t="shared" si="1"/>
        <v>4232690</v>
      </c>
    </row>
    <row r="18" spans="1:10" ht="13.5" customHeight="1">
      <c r="A18" s="838">
        <v>16</v>
      </c>
      <c r="B18" s="839" t="s">
        <v>433</v>
      </c>
      <c r="C18" s="839" t="s">
        <v>418</v>
      </c>
      <c r="D18" s="839" t="s">
        <v>382</v>
      </c>
      <c r="E18" s="839">
        <v>38</v>
      </c>
      <c r="F18" s="841">
        <v>39</v>
      </c>
      <c r="G18" s="840">
        <f t="shared" si="2"/>
        <v>38.5</v>
      </c>
      <c r="H18" s="839">
        <v>174600</v>
      </c>
      <c r="I18" s="839">
        <v>9430</v>
      </c>
      <c r="J18" s="839">
        <f t="shared" si="1"/>
        <v>7085155</v>
      </c>
    </row>
    <row r="19" spans="1:10" ht="13.5" customHeight="1">
      <c r="A19" s="838">
        <v>17</v>
      </c>
      <c r="B19" s="839" t="s">
        <v>434</v>
      </c>
      <c r="C19" s="839" t="s">
        <v>418</v>
      </c>
      <c r="D19" s="839" t="s">
        <v>382</v>
      </c>
      <c r="E19" s="839">
        <v>23</v>
      </c>
      <c r="F19" s="841">
        <v>24</v>
      </c>
      <c r="G19" s="840">
        <f t="shared" si="2"/>
        <v>23.5</v>
      </c>
      <c r="H19" s="839">
        <v>174600</v>
      </c>
      <c r="I19" s="839">
        <v>9430</v>
      </c>
      <c r="J19" s="839">
        <f t="shared" si="1"/>
        <v>4324705</v>
      </c>
    </row>
    <row r="20" spans="1:10" ht="13.5" customHeight="1">
      <c r="A20" s="838">
        <v>18</v>
      </c>
      <c r="B20" s="839" t="s">
        <v>435</v>
      </c>
      <c r="C20" s="839" t="s">
        <v>418</v>
      </c>
      <c r="D20" s="839" t="s">
        <v>377</v>
      </c>
      <c r="E20" s="839">
        <v>11</v>
      </c>
      <c r="F20" s="841">
        <v>23</v>
      </c>
      <c r="G20" s="840">
        <f t="shared" si="2"/>
        <v>17</v>
      </c>
      <c r="H20" s="839">
        <v>191300</v>
      </c>
      <c r="I20" s="839">
        <v>9430</v>
      </c>
      <c r="J20" s="839">
        <f t="shared" si="1"/>
        <v>3412410</v>
      </c>
    </row>
    <row r="21" spans="1:10" ht="13.5" customHeight="1">
      <c r="A21" s="838">
        <v>19</v>
      </c>
      <c r="B21" s="839" t="s">
        <v>436</v>
      </c>
      <c r="C21" s="839" t="s">
        <v>418</v>
      </c>
      <c r="D21" s="839" t="s">
        <v>275</v>
      </c>
      <c r="E21" s="839">
        <v>6</v>
      </c>
      <c r="F21" s="841">
        <v>6</v>
      </c>
      <c r="G21" s="840">
        <f t="shared" si="2"/>
        <v>6</v>
      </c>
      <c r="H21" s="839">
        <v>185700</v>
      </c>
      <c r="I21" s="839">
        <v>9430</v>
      </c>
      <c r="J21" s="839">
        <f t="shared" si="1"/>
        <v>1170780</v>
      </c>
    </row>
    <row r="22" spans="1:10" ht="13.5" customHeight="1">
      <c r="A22" s="838"/>
      <c r="B22" s="839"/>
      <c r="C22" s="842" t="s">
        <v>437</v>
      </c>
      <c r="D22" s="839"/>
      <c r="E22" s="841">
        <f>SUM(E3:E21)</f>
        <v>1011</v>
      </c>
      <c r="F22" s="841">
        <f>SUM(F3:F21)</f>
        <v>1061</v>
      </c>
      <c r="G22" s="840">
        <f t="shared" si="2"/>
        <v>1036</v>
      </c>
      <c r="H22" s="841"/>
      <c r="I22" s="841"/>
      <c r="J22" s="839">
        <f>SUM(J3:J21)</f>
        <v>202695580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headerFooter>
    <oddFooter>第 &amp;P 页，共 &amp;N 页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dimension ref="A1:K4"/>
  <sheetViews>
    <sheetView workbookViewId="0">
      <selection activeCell="A5" sqref="A5:XFD11"/>
    </sheetView>
  </sheetViews>
  <sheetFormatPr defaultColWidth="9" defaultRowHeight="45" customHeight="1"/>
  <cols>
    <col min="1" max="1" width="22.75" style="799" customWidth="1"/>
    <col min="2" max="2" width="32.125" style="799" customWidth="1"/>
    <col min="3" max="3" width="14.375" style="799" customWidth="1"/>
    <col min="4" max="4" width="13.875" style="799" customWidth="1"/>
    <col min="5" max="5" width="14.125" style="799" customWidth="1"/>
    <col min="6" max="6" width="13.5" style="799" hidden="1" customWidth="1"/>
    <col min="7" max="7" width="12.875" style="799" customWidth="1"/>
    <col min="8" max="9" width="16.5" style="799" customWidth="1"/>
    <col min="10" max="10" width="17.5" style="805" customWidth="1"/>
    <col min="11" max="11" width="22.5" style="799" customWidth="1"/>
    <col min="12" max="16384" width="9" style="799"/>
  </cols>
  <sheetData>
    <row r="1" spans="1:11" ht="39.75" customHeight="1">
      <c r="A1" s="1130" t="s">
        <v>2506</v>
      </c>
      <c r="B1" s="1130"/>
      <c r="C1" s="1130"/>
      <c r="D1" s="1130"/>
      <c r="E1" s="1130"/>
      <c r="F1" s="1130"/>
      <c r="G1" s="1130"/>
      <c r="H1" s="1130"/>
      <c r="I1" s="1130"/>
      <c r="J1" s="1130"/>
      <c r="K1" s="1131"/>
    </row>
    <row r="2" spans="1:11" s="802" customFormat="1" ht="41.25" customHeight="1">
      <c r="A2" s="800" t="s">
        <v>595</v>
      </c>
      <c r="B2" s="800" t="s">
        <v>2</v>
      </c>
      <c r="C2" s="801" t="s">
        <v>2498</v>
      </c>
      <c r="D2" s="801" t="s">
        <v>2499</v>
      </c>
      <c r="E2" s="801" t="s">
        <v>2500</v>
      </c>
      <c r="F2" s="801" t="s">
        <v>2501</v>
      </c>
      <c r="G2" s="801" t="s">
        <v>2502</v>
      </c>
      <c r="H2" s="801" t="s">
        <v>2503</v>
      </c>
      <c r="I2" s="801" t="s">
        <v>2504</v>
      </c>
      <c r="J2" s="801" t="s">
        <v>2505</v>
      </c>
      <c r="K2" s="800" t="s">
        <v>25</v>
      </c>
    </row>
    <row r="3" spans="1:11" s="804" customFormat="1" ht="30" customHeight="1">
      <c r="A3" s="800" t="s">
        <v>2494</v>
      </c>
      <c r="B3" s="800" t="s">
        <v>2495</v>
      </c>
      <c r="C3" s="803">
        <v>1743120</v>
      </c>
      <c r="D3" s="803">
        <v>1552473</v>
      </c>
      <c r="E3" s="803">
        <v>1546000</v>
      </c>
      <c r="F3" s="803" t="s">
        <v>2493</v>
      </c>
      <c r="G3" s="803">
        <f>33000+145780</f>
        <v>178780</v>
      </c>
      <c r="H3" s="803">
        <f>+E3+G3</f>
        <v>1724780</v>
      </c>
      <c r="I3" s="803">
        <v>1394496</v>
      </c>
      <c r="J3" s="803">
        <f>+H3-I3</f>
        <v>330284</v>
      </c>
      <c r="K3" s="800" t="s">
        <v>2515</v>
      </c>
    </row>
    <row r="4" spans="1:11" s="804" customFormat="1" ht="30" customHeight="1">
      <c r="A4" s="800"/>
      <c r="B4" s="800" t="s">
        <v>2491</v>
      </c>
      <c r="C4" s="803"/>
      <c r="D4" s="803"/>
      <c r="E4" s="803"/>
      <c r="F4" s="803"/>
      <c r="G4" s="803"/>
      <c r="H4" s="803"/>
      <c r="I4" s="803"/>
      <c r="J4" s="803">
        <f>SUM(J3)</f>
        <v>330284</v>
      </c>
      <c r="K4" s="800"/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dimension ref="A1:N35"/>
  <sheetViews>
    <sheetView workbookViewId="0">
      <selection activeCell="A36" sqref="A36:XFD214"/>
    </sheetView>
  </sheetViews>
  <sheetFormatPr defaultRowHeight="14.25"/>
  <cols>
    <col min="1" max="1" width="6.375" style="793" customWidth="1"/>
    <col min="2" max="2" width="9.375" style="793" customWidth="1"/>
    <col min="3" max="3" width="17.375" style="793" customWidth="1"/>
    <col min="4" max="4" width="10.125" style="793" customWidth="1"/>
    <col min="5" max="5" width="10.75" style="793" customWidth="1"/>
    <col min="6" max="6" width="11" style="793" customWidth="1"/>
    <col min="7" max="7" width="12" style="793" customWidth="1"/>
    <col min="8" max="8" width="15.625" style="796" customWidth="1"/>
    <col min="9" max="9" width="14.375" style="797" customWidth="1"/>
    <col min="10" max="10" width="6.25" style="793" hidden="1" customWidth="1"/>
    <col min="11" max="11" width="25.875" style="793" hidden="1" customWidth="1"/>
    <col min="12" max="12" width="15.25" style="798" customWidth="1"/>
    <col min="13" max="13" width="15.125" style="793" customWidth="1"/>
    <col min="14" max="14" width="14.125" style="793" customWidth="1"/>
    <col min="15" max="16384" width="9" style="793"/>
  </cols>
  <sheetData>
    <row r="1" spans="1:14" ht="26.25" customHeight="1">
      <c r="A1" s="1132" t="s">
        <v>2445</v>
      </c>
      <c r="B1" s="1132"/>
      <c r="C1" s="1132"/>
      <c r="D1" s="1132"/>
      <c r="E1" s="1132"/>
      <c r="F1" s="1132"/>
      <c r="G1" s="1132"/>
      <c r="H1" s="1132"/>
      <c r="I1" s="1132"/>
      <c r="J1" s="1132"/>
      <c r="K1" s="1132"/>
      <c r="L1" s="1132"/>
      <c r="M1" s="1133"/>
    </row>
    <row r="2" spans="1:14" ht="31.5" customHeight="1">
      <c r="A2" s="806" t="s">
        <v>765</v>
      </c>
      <c r="B2" s="806" t="s">
        <v>596</v>
      </c>
      <c r="C2" s="1134" t="s">
        <v>2446</v>
      </c>
      <c r="D2" s="1135"/>
      <c r="E2" s="807" t="s">
        <v>2447</v>
      </c>
      <c r="F2" s="808" t="s">
        <v>2516</v>
      </c>
      <c r="G2" s="808" t="s">
        <v>2517</v>
      </c>
      <c r="H2" s="809" t="s">
        <v>2518</v>
      </c>
      <c r="I2" s="810" t="s">
        <v>2519</v>
      </c>
      <c r="J2" s="808" t="s">
        <v>2448</v>
      </c>
      <c r="K2" s="811" t="s">
        <v>714</v>
      </c>
      <c r="L2" s="812" t="s">
        <v>2449</v>
      </c>
      <c r="M2" s="845" t="s">
        <v>2520</v>
      </c>
      <c r="N2" s="812" t="s">
        <v>2450</v>
      </c>
    </row>
    <row r="3" spans="1:14" s="795" customFormat="1" ht="12.95" customHeight="1">
      <c r="A3" s="818" t="s">
        <v>767</v>
      </c>
      <c r="B3" s="818" t="s">
        <v>2453</v>
      </c>
      <c r="C3" s="1136" t="s">
        <v>2455</v>
      </c>
      <c r="D3" s="1137"/>
      <c r="E3" s="834" t="s">
        <v>2456</v>
      </c>
      <c r="F3" s="819">
        <v>1</v>
      </c>
      <c r="G3" s="822">
        <v>5</v>
      </c>
      <c r="H3" s="820">
        <v>95250</v>
      </c>
      <c r="I3" s="820">
        <f t="shared" ref="I3:I34" si="0">H3*G3</f>
        <v>476250</v>
      </c>
      <c r="J3" s="821" t="s">
        <v>2457</v>
      </c>
      <c r="K3" s="824"/>
      <c r="L3" s="816">
        <f t="shared" ref="L3:L34" si="1">ROUND(I3*0.7,0)</f>
        <v>333375</v>
      </c>
      <c r="M3" s="817"/>
      <c r="N3" s="817">
        <v>142875</v>
      </c>
    </row>
    <row r="4" spans="1:14" s="795" customFormat="1" ht="12.95" customHeight="1">
      <c r="A4" s="818" t="s">
        <v>767</v>
      </c>
      <c r="B4" s="818" t="s">
        <v>2453</v>
      </c>
      <c r="C4" s="1136" t="s">
        <v>2458</v>
      </c>
      <c r="D4" s="1137"/>
      <c r="E4" s="834" t="s">
        <v>2456</v>
      </c>
      <c r="F4" s="819">
        <v>1</v>
      </c>
      <c r="G4" s="822">
        <v>5</v>
      </c>
      <c r="H4" s="820">
        <v>95250</v>
      </c>
      <c r="I4" s="820">
        <f t="shared" si="0"/>
        <v>476250</v>
      </c>
      <c r="J4" s="821" t="s">
        <v>2457</v>
      </c>
      <c r="K4" s="824"/>
      <c r="L4" s="816">
        <f t="shared" si="1"/>
        <v>333375</v>
      </c>
      <c r="M4" s="817"/>
      <c r="N4" s="817">
        <v>142875</v>
      </c>
    </row>
    <row r="5" spans="1:14" s="795" customFormat="1" ht="12.95" customHeight="1">
      <c r="A5" s="818" t="s">
        <v>767</v>
      </c>
      <c r="B5" s="818" t="s">
        <v>2452</v>
      </c>
      <c r="C5" s="1136" t="s">
        <v>2459</v>
      </c>
      <c r="D5" s="1137"/>
      <c r="E5" s="834" t="s">
        <v>2456</v>
      </c>
      <c r="F5" s="819">
        <v>1</v>
      </c>
      <c r="G5" s="822">
        <v>5</v>
      </c>
      <c r="H5" s="820">
        <v>95250</v>
      </c>
      <c r="I5" s="820">
        <f t="shared" si="0"/>
        <v>476250</v>
      </c>
      <c r="J5" s="821" t="s">
        <v>2457</v>
      </c>
      <c r="K5" s="824"/>
      <c r="L5" s="816">
        <f t="shared" si="1"/>
        <v>333375</v>
      </c>
      <c r="M5" s="817"/>
      <c r="N5" s="817">
        <v>142875</v>
      </c>
    </row>
    <row r="6" spans="1:14" s="795" customFormat="1" ht="12.95" customHeight="1">
      <c r="A6" s="818" t="s">
        <v>767</v>
      </c>
      <c r="B6" s="818" t="s">
        <v>2452</v>
      </c>
      <c r="C6" s="1141" t="s">
        <v>2460</v>
      </c>
      <c r="D6" s="1142"/>
      <c r="E6" s="835" t="s">
        <v>2456</v>
      </c>
      <c r="F6" s="825">
        <v>1</v>
      </c>
      <c r="G6" s="832">
        <v>6</v>
      </c>
      <c r="H6" s="826">
        <v>95250</v>
      </c>
      <c r="I6" s="826">
        <f t="shared" si="0"/>
        <v>571500</v>
      </c>
      <c r="J6" s="827" t="s">
        <v>2457</v>
      </c>
      <c r="K6" s="828" t="s">
        <v>2461</v>
      </c>
      <c r="L6" s="816">
        <f t="shared" si="1"/>
        <v>400050</v>
      </c>
      <c r="M6" s="817"/>
      <c r="N6" s="817">
        <v>171450</v>
      </c>
    </row>
    <row r="7" spans="1:14" s="795" customFormat="1" ht="12.95" customHeight="1">
      <c r="A7" s="818" t="s">
        <v>767</v>
      </c>
      <c r="B7" s="818" t="s">
        <v>2452</v>
      </c>
      <c r="C7" s="1136" t="s">
        <v>2462</v>
      </c>
      <c r="D7" s="1137"/>
      <c r="E7" s="834" t="s">
        <v>2456</v>
      </c>
      <c r="F7" s="819">
        <v>1</v>
      </c>
      <c r="G7" s="822">
        <v>5</v>
      </c>
      <c r="H7" s="820">
        <v>95250</v>
      </c>
      <c r="I7" s="820">
        <f t="shared" si="0"/>
        <v>476250</v>
      </c>
      <c r="J7" s="821" t="s">
        <v>2457</v>
      </c>
      <c r="K7" s="824"/>
      <c r="L7" s="816">
        <f t="shared" si="1"/>
        <v>333375</v>
      </c>
      <c r="M7" s="817"/>
      <c r="N7" s="817">
        <v>142875</v>
      </c>
    </row>
    <row r="8" spans="1:14" s="795" customFormat="1" ht="12.95" customHeight="1">
      <c r="A8" s="818" t="s">
        <v>767</v>
      </c>
      <c r="B8" s="818" t="s">
        <v>2451</v>
      </c>
      <c r="C8" s="1136" t="s">
        <v>2463</v>
      </c>
      <c r="D8" s="1137"/>
      <c r="E8" s="834" t="s">
        <v>2456</v>
      </c>
      <c r="F8" s="819">
        <v>1</v>
      </c>
      <c r="G8" s="822">
        <v>5</v>
      </c>
      <c r="H8" s="820">
        <v>95250</v>
      </c>
      <c r="I8" s="820">
        <f t="shared" si="0"/>
        <v>476250</v>
      </c>
      <c r="J8" s="821" t="s">
        <v>2457</v>
      </c>
      <c r="K8" s="824"/>
      <c r="L8" s="816">
        <f t="shared" si="1"/>
        <v>333375</v>
      </c>
      <c r="M8" s="817"/>
      <c r="N8" s="817">
        <v>142875</v>
      </c>
    </row>
    <row r="9" spans="1:14" s="795" customFormat="1" ht="12.95" customHeight="1">
      <c r="A9" s="818" t="s">
        <v>767</v>
      </c>
      <c r="B9" s="818" t="s">
        <v>2451</v>
      </c>
      <c r="C9" s="1138" t="s">
        <v>2464</v>
      </c>
      <c r="D9" s="1137"/>
      <c r="E9" s="834" t="s">
        <v>2456</v>
      </c>
      <c r="F9" s="819">
        <v>1</v>
      </c>
      <c r="G9" s="822">
        <v>5</v>
      </c>
      <c r="H9" s="820">
        <v>95250</v>
      </c>
      <c r="I9" s="820">
        <f t="shared" si="0"/>
        <v>476250</v>
      </c>
      <c r="J9" s="821" t="s">
        <v>2457</v>
      </c>
      <c r="K9" s="824"/>
      <c r="L9" s="816">
        <f t="shared" si="1"/>
        <v>333375</v>
      </c>
      <c r="M9" s="817"/>
      <c r="N9" s="817">
        <v>142875</v>
      </c>
    </row>
    <row r="10" spans="1:14" s="795" customFormat="1" ht="12.95" customHeight="1">
      <c r="A10" s="818" t="s">
        <v>767</v>
      </c>
      <c r="B10" s="818" t="s">
        <v>2451</v>
      </c>
      <c r="C10" s="1136" t="s">
        <v>2465</v>
      </c>
      <c r="D10" s="1137"/>
      <c r="E10" s="834" t="s">
        <v>2456</v>
      </c>
      <c r="F10" s="819">
        <v>1</v>
      </c>
      <c r="G10" s="822">
        <v>5</v>
      </c>
      <c r="H10" s="820">
        <v>95250</v>
      </c>
      <c r="I10" s="820">
        <f t="shared" si="0"/>
        <v>476250</v>
      </c>
      <c r="J10" s="821" t="s">
        <v>2457</v>
      </c>
      <c r="K10" s="824"/>
      <c r="L10" s="816">
        <f t="shared" si="1"/>
        <v>333375</v>
      </c>
      <c r="M10" s="817"/>
      <c r="N10" s="817">
        <v>142875</v>
      </c>
    </row>
    <row r="11" spans="1:14" s="795" customFormat="1" ht="12.95" customHeight="1">
      <c r="A11" s="818" t="s">
        <v>767</v>
      </c>
      <c r="B11" s="818" t="s">
        <v>2452</v>
      </c>
      <c r="C11" s="1138" t="s">
        <v>2466</v>
      </c>
      <c r="D11" s="1137"/>
      <c r="E11" s="834" t="s">
        <v>2456</v>
      </c>
      <c r="F11" s="819">
        <v>2</v>
      </c>
      <c r="G11" s="822">
        <v>10</v>
      </c>
      <c r="H11" s="820">
        <v>95250</v>
      </c>
      <c r="I11" s="820">
        <f t="shared" si="0"/>
        <v>952500</v>
      </c>
      <c r="J11" s="821" t="s">
        <v>2457</v>
      </c>
      <c r="K11" s="818" t="s">
        <v>2467</v>
      </c>
      <c r="L11" s="816">
        <f t="shared" si="1"/>
        <v>666750</v>
      </c>
      <c r="M11" s="817"/>
      <c r="N11" s="817">
        <v>285750</v>
      </c>
    </row>
    <row r="12" spans="1:14" s="795" customFormat="1" ht="12.95" customHeight="1">
      <c r="A12" s="818" t="s">
        <v>767</v>
      </c>
      <c r="B12" s="818" t="s">
        <v>2451</v>
      </c>
      <c r="C12" s="1138" t="s">
        <v>2468</v>
      </c>
      <c r="D12" s="1137"/>
      <c r="E12" s="834" t="s">
        <v>2456</v>
      </c>
      <c r="F12" s="819">
        <v>1</v>
      </c>
      <c r="G12" s="822">
        <v>5</v>
      </c>
      <c r="H12" s="820">
        <v>95250</v>
      </c>
      <c r="I12" s="820">
        <f t="shared" si="0"/>
        <v>476250</v>
      </c>
      <c r="J12" s="821" t="s">
        <v>2457</v>
      </c>
      <c r="K12" s="824"/>
      <c r="L12" s="816">
        <f t="shared" si="1"/>
        <v>333375</v>
      </c>
      <c r="M12" s="817"/>
      <c r="N12" s="817">
        <v>142875</v>
      </c>
    </row>
    <row r="13" spans="1:14" s="794" customFormat="1" ht="12.95" customHeight="1">
      <c r="A13" s="818" t="s">
        <v>767</v>
      </c>
      <c r="B13" s="818" t="s">
        <v>2451</v>
      </c>
      <c r="C13" s="1139" t="s">
        <v>2469</v>
      </c>
      <c r="D13" s="1140"/>
      <c r="E13" s="836" t="s">
        <v>2456</v>
      </c>
      <c r="F13" s="813">
        <v>1</v>
      </c>
      <c r="G13" s="823">
        <v>5</v>
      </c>
      <c r="H13" s="814">
        <v>95250</v>
      </c>
      <c r="I13" s="814">
        <f t="shared" si="0"/>
        <v>476250</v>
      </c>
      <c r="J13" s="815"/>
      <c r="K13" s="833"/>
      <c r="L13" s="816">
        <f t="shared" si="1"/>
        <v>333375</v>
      </c>
      <c r="M13" s="817"/>
      <c r="N13" s="817">
        <v>142875</v>
      </c>
    </row>
    <row r="14" spans="1:14" s="795" customFormat="1" ht="12.95" customHeight="1">
      <c r="A14" s="818" t="s">
        <v>767</v>
      </c>
      <c r="B14" s="818" t="s">
        <v>2451</v>
      </c>
      <c r="C14" s="1138" t="s">
        <v>2470</v>
      </c>
      <c r="D14" s="1137"/>
      <c r="E14" s="834" t="s">
        <v>2456</v>
      </c>
      <c r="F14" s="819">
        <v>1</v>
      </c>
      <c r="G14" s="822">
        <v>5</v>
      </c>
      <c r="H14" s="820">
        <v>95250</v>
      </c>
      <c r="I14" s="820">
        <f t="shared" si="0"/>
        <v>476250</v>
      </c>
      <c r="J14" s="821" t="s">
        <v>2457</v>
      </c>
      <c r="K14" s="824"/>
      <c r="L14" s="816">
        <f t="shared" si="1"/>
        <v>333375</v>
      </c>
      <c r="M14" s="817"/>
      <c r="N14" s="817">
        <v>142875</v>
      </c>
    </row>
    <row r="15" spans="1:14" s="795" customFormat="1" ht="12.95" customHeight="1">
      <c r="A15" s="818" t="s">
        <v>767</v>
      </c>
      <c r="B15" s="818" t="s">
        <v>2451</v>
      </c>
      <c r="C15" s="1138" t="s">
        <v>2471</v>
      </c>
      <c r="D15" s="1137"/>
      <c r="E15" s="834" t="s">
        <v>2456</v>
      </c>
      <c r="F15" s="819">
        <v>1</v>
      </c>
      <c r="G15" s="822">
        <v>5</v>
      </c>
      <c r="H15" s="820">
        <v>95250</v>
      </c>
      <c r="I15" s="820">
        <f t="shared" si="0"/>
        <v>476250</v>
      </c>
      <c r="J15" s="821" t="s">
        <v>2457</v>
      </c>
      <c r="K15" s="837"/>
      <c r="L15" s="816">
        <f t="shared" si="1"/>
        <v>333375</v>
      </c>
      <c r="M15" s="817"/>
      <c r="N15" s="817">
        <v>142875</v>
      </c>
    </row>
    <row r="16" spans="1:14" s="795" customFormat="1" ht="12.95" customHeight="1">
      <c r="A16" s="818" t="s">
        <v>767</v>
      </c>
      <c r="B16" s="818" t="s">
        <v>2451</v>
      </c>
      <c r="C16" s="1136" t="s">
        <v>2472</v>
      </c>
      <c r="D16" s="1137"/>
      <c r="E16" s="834" t="s">
        <v>2456</v>
      </c>
      <c r="F16" s="819">
        <v>1</v>
      </c>
      <c r="G16" s="822">
        <v>5</v>
      </c>
      <c r="H16" s="820">
        <v>95250</v>
      </c>
      <c r="I16" s="820">
        <f t="shared" si="0"/>
        <v>476250</v>
      </c>
      <c r="J16" s="821" t="s">
        <v>2457</v>
      </c>
      <c r="K16" s="824"/>
      <c r="L16" s="816">
        <f t="shared" si="1"/>
        <v>333375</v>
      </c>
      <c r="M16" s="817"/>
      <c r="N16" s="817">
        <v>142875</v>
      </c>
    </row>
    <row r="17" spans="1:14" s="795" customFormat="1" ht="12.95" customHeight="1">
      <c r="A17" s="818" t="s">
        <v>767</v>
      </c>
      <c r="B17" s="818" t="s">
        <v>2453</v>
      </c>
      <c r="C17" s="1136" t="s">
        <v>2473</v>
      </c>
      <c r="D17" s="1137"/>
      <c r="E17" s="834" t="s">
        <v>2456</v>
      </c>
      <c r="F17" s="819">
        <v>1</v>
      </c>
      <c r="G17" s="822">
        <v>5</v>
      </c>
      <c r="H17" s="820">
        <v>95250</v>
      </c>
      <c r="I17" s="820">
        <f t="shared" si="0"/>
        <v>476250</v>
      </c>
      <c r="J17" s="821" t="s">
        <v>2457</v>
      </c>
      <c r="K17" s="824"/>
      <c r="L17" s="816">
        <f t="shared" si="1"/>
        <v>333375</v>
      </c>
      <c r="M17" s="817"/>
      <c r="N17" s="817">
        <v>142875</v>
      </c>
    </row>
    <row r="18" spans="1:14" s="795" customFormat="1" ht="12.95" customHeight="1">
      <c r="A18" s="818" t="s">
        <v>767</v>
      </c>
      <c r="B18" s="818" t="s">
        <v>2452</v>
      </c>
      <c r="C18" s="1136" t="s">
        <v>2474</v>
      </c>
      <c r="D18" s="1137"/>
      <c r="E18" s="834" t="s">
        <v>2456</v>
      </c>
      <c r="F18" s="819">
        <v>1</v>
      </c>
      <c r="G18" s="822">
        <v>5</v>
      </c>
      <c r="H18" s="820">
        <v>95250</v>
      </c>
      <c r="I18" s="820">
        <f t="shared" si="0"/>
        <v>476250</v>
      </c>
      <c r="J18" s="821" t="s">
        <v>2457</v>
      </c>
      <c r="K18" s="824"/>
      <c r="L18" s="816">
        <f t="shared" si="1"/>
        <v>333375</v>
      </c>
      <c r="M18" s="817"/>
      <c r="N18" s="817">
        <v>142875</v>
      </c>
    </row>
    <row r="19" spans="1:14" s="795" customFormat="1" ht="12.95" customHeight="1">
      <c r="A19" s="818" t="s">
        <v>767</v>
      </c>
      <c r="B19" s="818" t="s">
        <v>2451</v>
      </c>
      <c r="C19" s="1136" t="s">
        <v>2475</v>
      </c>
      <c r="D19" s="1137"/>
      <c r="E19" s="834" t="s">
        <v>2456</v>
      </c>
      <c r="F19" s="819">
        <v>1</v>
      </c>
      <c r="G19" s="822">
        <v>5</v>
      </c>
      <c r="H19" s="820">
        <v>95250</v>
      </c>
      <c r="I19" s="820">
        <f t="shared" si="0"/>
        <v>476250</v>
      </c>
      <c r="J19" s="821" t="s">
        <v>2457</v>
      </c>
      <c r="K19" s="824"/>
      <c r="L19" s="816">
        <f t="shared" si="1"/>
        <v>333375</v>
      </c>
      <c r="M19" s="817"/>
      <c r="N19" s="817">
        <v>142875</v>
      </c>
    </row>
    <row r="20" spans="1:14" s="795" customFormat="1" ht="12.95" customHeight="1">
      <c r="A20" s="818" t="s">
        <v>767</v>
      </c>
      <c r="B20" s="818" t="s">
        <v>2451</v>
      </c>
      <c r="C20" s="1138" t="s">
        <v>2476</v>
      </c>
      <c r="D20" s="1143"/>
      <c r="E20" s="834" t="s">
        <v>2456</v>
      </c>
      <c r="F20" s="819">
        <v>1</v>
      </c>
      <c r="G20" s="822">
        <v>5</v>
      </c>
      <c r="H20" s="820">
        <v>95250</v>
      </c>
      <c r="I20" s="820">
        <f t="shared" si="0"/>
        <v>476250</v>
      </c>
      <c r="J20" s="821" t="s">
        <v>2457</v>
      </c>
      <c r="K20" s="824" t="s">
        <v>2461</v>
      </c>
      <c r="L20" s="816">
        <f t="shared" si="1"/>
        <v>333375</v>
      </c>
      <c r="M20" s="817"/>
      <c r="N20" s="817">
        <v>142875</v>
      </c>
    </row>
    <row r="21" spans="1:14" s="795" customFormat="1" ht="12.95" customHeight="1">
      <c r="A21" s="818" t="s">
        <v>767</v>
      </c>
      <c r="B21" s="818" t="s">
        <v>2451</v>
      </c>
      <c r="C21" s="1136" t="s">
        <v>2477</v>
      </c>
      <c r="D21" s="1137"/>
      <c r="E21" s="834" t="s">
        <v>2456</v>
      </c>
      <c r="F21" s="819">
        <v>1</v>
      </c>
      <c r="G21" s="822">
        <v>5</v>
      </c>
      <c r="H21" s="820">
        <v>95250</v>
      </c>
      <c r="I21" s="820">
        <f t="shared" si="0"/>
        <v>476250</v>
      </c>
      <c r="J21" s="821" t="s">
        <v>2457</v>
      </c>
      <c r="K21" s="824"/>
      <c r="L21" s="816">
        <f t="shared" si="1"/>
        <v>333375</v>
      </c>
      <c r="M21" s="817"/>
      <c r="N21" s="817">
        <v>142875</v>
      </c>
    </row>
    <row r="22" spans="1:14" s="795" customFormat="1" ht="12.95" customHeight="1">
      <c r="A22" s="818" t="s">
        <v>767</v>
      </c>
      <c r="B22" s="818" t="s">
        <v>2451</v>
      </c>
      <c r="C22" s="1136" t="s">
        <v>2478</v>
      </c>
      <c r="D22" s="1137"/>
      <c r="E22" s="834" t="s">
        <v>2456</v>
      </c>
      <c r="F22" s="819">
        <v>1</v>
      </c>
      <c r="G22" s="822">
        <v>5</v>
      </c>
      <c r="H22" s="820">
        <v>95250</v>
      </c>
      <c r="I22" s="820">
        <f t="shared" si="0"/>
        <v>476250</v>
      </c>
      <c r="J22" s="821" t="s">
        <v>2457</v>
      </c>
      <c r="K22" s="824"/>
      <c r="L22" s="816">
        <f t="shared" si="1"/>
        <v>333375</v>
      </c>
      <c r="M22" s="817"/>
      <c r="N22" s="817">
        <v>142875</v>
      </c>
    </row>
    <row r="23" spans="1:14" s="795" customFormat="1" ht="12.95" customHeight="1">
      <c r="A23" s="818" t="s">
        <v>767</v>
      </c>
      <c r="B23" s="818" t="s">
        <v>2451</v>
      </c>
      <c r="C23" s="1136" t="s">
        <v>2479</v>
      </c>
      <c r="D23" s="1137"/>
      <c r="E23" s="834" t="s">
        <v>2456</v>
      </c>
      <c r="F23" s="819">
        <v>1</v>
      </c>
      <c r="G23" s="822">
        <v>5</v>
      </c>
      <c r="H23" s="820">
        <v>95250</v>
      </c>
      <c r="I23" s="820">
        <f t="shared" si="0"/>
        <v>476250</v>
      </c>
      <c r="J23" s="821" t="s">
        <v>2457</v>
      </c>
      <c r="K23" s="824"/>
      <c r="L23" s="816">
        <f t="shared" si="1"/>
        <v>333375</v>
      </c>
      <c r="M23" s="817"/>
      <c r="N23" s="817">
        <v>142875</v>
      </c>
    </row>
    <row r="24" spans="1:14" s="795" customFormat="1" ht="12.95" customHeight="1">
      <c r="A24" s="818" t="s">
        <v>767</v>
      </c>
      <c r="B24" s="818" t="s">
        <v>1027</v>
      </c>
      <c r="C24" s="1138" t="s">
        <v>2480</v>
      </c>
      <c r="D24" s="1137"/>
      <c r="E24" s="834" t="s">
        <v>2456</v>
      </c>
      <c r="F24" s="819">
        <v>1</v>
      </c>
      <c r="G24" s="822">
        <v>5</v>
      </c>
      <c r="H24" s="820">
        <v>95250</v>
      </c>
      <c r="I24" s="820">
        <f t="shared" si="0"/>
        <v>476250</v>
      </c>
      <c r="J24" s="821" t="s">
        <v>2457</v>
      </c>
      <c r="K24" s="824"/>
      <c r="L24" s="816">
        <f t="shared" si="1"/>
        <v>333375</v>
      </c>
      <c r="M24" s="817"/>
      <c r="N24" s="817">
        <v>142875</v>
      </c>
    </row>
    <row r="25" spans="1:14" s="795" customFormat="1" ht="12.95" customHeight="1">
      <c r="A25" s="818" t="s">
        <v>767</v>
      </c>
      <c r="B25" s="818" t="s">
        <v>2451</v>
      </c>
      <c r="C25" s="1138" t="s">
        <v>2481</v>
      </c>
      <c r="D25" s="1143"/>
      <c r="E25" s="834" t="s">
        <v>2456</v>
      </c>
      <c r="F25" s="819">
        <v>1</v>
      </c>
      <c r="G25" s="822">
        <v>5</v>
      </c>
      <c r="H25" s="820">
        <v>95250</v>
      </c>
      <c r="I25" s="820">
        <f t="shared" si="0"/>
        <v>476250</v>
      </c>
      <c r="J25" s="821" t="s">
        <v>2457</v>
      </c>
      <c r="K25" s="824" t="s">
        <v>2461</v>
      </c>
      <c r="L25" s="816">
        <f t="shared" si="1"/>
        <v>333375</v>
      </c>
      <c r="M25" s="817"/>
      <c r="N25" s="817">
        <v>142875</v>
      </c>
    </row>
    <row r="26" spans="1:14" s="795" customFormat="1" ht="12.95" customHeight="1">
      <c r="A26" s="818" t="s">
        <v>767</v>
      </c>
      <c r="B26" s="818" t="s">
        <v>1027</v>
      </c>
      <c r="C26" s="1141" t="s">
        <v>2482</v>
      </c>
      <c r="D26" s="1142"/>
      <c r="E26" s="835" t="s">
        <v>2456</v>
      </c>
      <c r="F26" s="825">
        <v>1</v>
      </c>
      <c r="G26" s="832">
        <v>6</v>
      </c>
      <c r="H26" s="826">
        <v>95250</v>
      </c>
      <c r="I26" s="826">
        <f t="shared" si="0"/>
        <v>571500</v>
      </c>
      <c r="J26" s="827"/>
      <c r="K26" s="828"/>
      <c r="L26" s="816">
        <f t="shared" si="1"/>
        <v>400050</v>
      </c>
      <c r="M26" s="817"/>
      <c r="N26" s="817">
        <v>171450</v>
      </c>
    </row>
    <row r="27" spans="1:14" s="794" customFormat="1" ht="12.95" customHeight="1">
      <c r="A27" s="818" t="s">
        <v>767</v>
      </c>
      <c r="B27" s="815" t="s">
        <v>1027</v>
      </c>
      <c r="C27" s="1144" t="s">
        <v>435</v>
      </c>
      <c r="D27" s="1144"/>
      <c r="E27" s="831" t="s">
        <v>2483</v>
      </c>
      <c r="F27" s="813">
        <v>1</v>
      </c>
      <c r="G27" s="823">
        <v>5</v>
      </c>
      <c r="H27" s="814">
        <v>95250</v>
      </c>
      <c r="I27" s="814">
        <f t="shared" si="0"/>
        <v>476250</v>
      </c>
      <c r="J27" s="815"/>
      <c r="K27" s="833"/>
      <c r="L27" s="816">
        <f t="shared" si="1"/>
        <v>333375</v>
      </c>
      <c r="M27" s="817"/>
      <c r="N27" s="817">
        <v>142875</v>
      </c>
    </row>
    <row r="28" spans="1:14" s="794" customFormat="1" ht="12.95" customHeight="1">
      <c r="A28" s="818" t="s">
        <v>780</v>
      </c>
      <c r="B28" s="818" t="s">
        <v>2454</v>
      </c>
      <c r="C28" s="1139" t="s">
        <v>2484</v>
      </c>
      <c r="D28" s="1145"/>
      <c r="E28" s="831" t="s">
        <v>2483</v>
      </c>
      <c r="F28" s="813">
        <v>1</v>
      </c>
      <c r="G28" s="823">
        <v>5</v>
      </c>
      <c r="H28" s="814">
        <v>95250</v>
      </c>
      <c r="I28" s="814">
        <f t="shared" si="0"/>
        <v>476250</v>
      </c>
      <c r="J28" s="815"/>
      <c r="K28" s="833"/>
      <c r="L28" s="816">
        <f t="shared" si="1"/>
        <v>333375</v>
      </c>
      <c r="M28" s="817"/>
      <c r="N28" s="817">
        <v>142875</v>
      </c>
    </row>
    <row r="29" spans="1:14" s="794" customFormat="1" ht="12.95" customHeight="1">
      <c r="A29" s="818" t="s">
        <v>780</v>
      </c>
      <c r="B29" s="818" t="s">
        <v>2454</v>
      </c>
      <c r="C29" s="1139" t="s">
        <v>2485</v>
      </c>
      <c r="D29" s="1145"/>
      <c r="E29" s="831" t="s">
        <v>2483</v>
      </c>
      <c r="F29" s="813">
        <v>1</v>
      </c>
      <c r="G29" s="823">
        <v>5</v>
      </c>
      <c r="H29" s="814">
        <v>95250</v>
      </c>
      <c r="I29" s="814">
        <f t="shared" si="0"/>
        <v>476250</v>
      </c>
      <c r="J29" s="815"/>
      <c r="K29" s="833"/>
      <c r="L29" s="816">
        <f t="shared" si="1"/>
        <v>333375</v>
      </c>
      <c r="M29" s="817"/>
      <c r="N29" s="817">
        <v>142875</v>
      </c>
    </row>
    <row r="30" spans="1:14" s="794" customFormat="1" ht="12.95" customHeight="1">
      <c r="A30" s="821" t="s">
        <v>780</v>
      </c>
      <c r="B30" s="830" t="s">
        <v>2451</v>
      </c>
      <c r="C30" s="1139" t="s">
        <v>2486</v>
      </c>
      <c r="D30" s="1145"/>
      <c r="E30" s="831" t="s">
        <v>2483</v>
      </c>
      <c r="F30" s="813">
        <v>1</v>
      </c>
      <c r="G30" s="823">
        <v>1</v>
      </c>
      <c r="H30" s="814">
        <v>95250</v>
      </c>
      <c r="I30" s="814">
        <f t="shared" si="0"/>
        <v>95250</v>
      </c>
      <c r="J30" s="815"/>
      <c r="K30" s="833"/>
      <c r="L30" s="816">
        <f t="shared" si="1"/>
        <v>66675</v>
      </c>
      <c r="M30" s="817"/>
      <c r="N30" s="817">
        <v>28575</v>
      </c>
    </row>
    <row r="31" spans="1:14" s="794" customFormat="1" ht="12.95" customHeight="1">
      <c r="A31" s="821" t="s">
        <v>780</v>
      </c>
      <c r="B31" s="830" t="s">
        <v>2451</v>
      </c>
      <c r="C31" s="1139" t="s">
        <v>2487</v>
      </c>
      <c r="D31" s="1145"/>
      <c r="E31" s="831" t="s">
        <v>2483</v>
      </c>
      <c r="F31" s="813">
        <v>1</v>
      </c>
      <c r="G31" s="823">
        <v>1</v>
      </c>
      <c r="H31" s="814">
        <v>95250</v>
      </c>
      <c r="I31" s="814">
        <f t="shared" si="0"/>
        <v>95250</v>
      </c>
      <c r="J31" s="815"/>
      <c r="K31" s="833"/>
      <c r="L31" s="816">
        <f t="shared" si="1"/>
        <v>66675</v>
      </c>
      <c r="M31" s="817"/>
      <c r="N31" s="817">
        <v>28575</v>
      </c>
    </row>
    <row r="32" spans="1:14" s="794" customFormat="1" ht="12.95" customHeight="1">
      <c r="A32" s="821" t="s">
        <v>780</v>
      </c>
      <c r="B32" s="821" t="s">
        <v>2451</v>
      </c>
      <c r="C32" s="1139" t="s">
        <v>2488</v>
      </c>
      <c r="D32" s="1145"/>
      <c r="E32" s="831" t="s">
        <v>2483</v>
      </c>
      <c r="F32" s="813">
        <v>1</v>
      </c>
      <c r="G32" s="823">
        <v>2</v>
      </c>
      <c r="H32" s="814">
        <v>95250</v>
      </c>
      <c r="I32" s="814">
        <f t="shared" si="0"/>
        <v>190500</v>
      </c>
      <c r="J32" s="815"/>
      <c r="K32" s="833"/>
      <c r="L32" s="816">
        <f t="shared" si="1"/>
        <v>133350</v>
      </c>
      <c r="M32" s="817"/>
      <c r="N32" s="817">
        <v>57150</v>
      </c>
    </row>
    <row r="33" spans="1:14" s="794" customFormat="1" ht="12.95" customHeight="1">
      <c r="A33" s="821" t="s">
        <v>780</v>
      </c>
      <c r="B33" s="821" t="s">
        <v>2451</v>
      </c>
      <c r="C33" s="1139" t="s">
        <v>2489</v>
      </c>
      <c r="D33" s="1145"/>
      <c r="E33" s="831" t="s">
        <v>2483</v>
      </c>
      <c r="F33" s="813">
        <v>1</v>
      </c>
      <c r="G33" s="823">
        <v>2</v>
      </c>
      <c r="H33" s="814">
        <v>95250</v>
      </c>
      <c r="I33" s="814">
        <f t="shared" si="0"/>
        <v>190500</v>
      </c>
      <c r="J33" s="815"/>
      <c r="K33" s="833"/>
      <c r="L33" s="816">
        <f t="shared" si="1"/>
        <v>133350</v>
      </c>
      <c r="M33" s="817"/>
      <c r="N33" s="817">
        <v>57150</v>
      </c>
    </row>
    <row r="34" spans="1:14" s="794" customFormat="1" ht="12.95" customHeight="1">
      <c r="A34" s="821" t="s">
        <v>780</v>
      </c>
      <c r="B34" s="821" t="s">
        <v>2451</v>
      </c>
      <c r="C34" s="1139" t="s">
        <v>2490</v>
      </c>
      <c r="D34" s="1145"/>
      <c r="E34" s="831" t="s">
        <v>2483</v>
      </c>
      <c r="F34" s="813">
        <v>1</v>
      </c>
      <c r="G34" s="823">
        <v>2</v>
      </c>
      <c r="H34" s="814">
        <v>95250</v>
      </c>
      <c r="I34" s="814">
        <f t="shared" si="0"/>
        <v>190500</v>
      </c>
      <c r="J34" s="815"/>
      <c r="K34" s="833"/>
      <c r="L34" s="816">
        <f t="shared" si="1"/>
        <v>133350</v>
      </c>
      <c r="M34" s="817"/>
      <c r="N34" s="817">
        <v>57150</v>
      </c>
    </row>
    <row r="35" spans="1:14" s="795" customFormat="1" ht="12.95" customHeight="1">
      <c r="A35" s="1146" t="s">
        <v>2492</v>
      </c>
      <c r="B35" s="1147"/>
      <c r="C35" s="1147"/>
      <c r="D35" s="1147"/>
      <c r="E35" s="1148"/>
      <c r="F35" s="829">
        <f>SUM(F3:F34)</f>
        <v>33</v>
      </c>
      <c r="G35" s="829">
        <f t="shared" ref="G35:N35" si="2">SUM(G3:G34)</f>
        <v>150</v>
      </c>
      <c r="H35" s="829"/>
      <c r="I35" s="829">
        <f t="shared" si="2"/>
        <v>14287500</v>
      </c>
      <c r="J35" s="829">
        <f t="shared" si="2"/>
        <v>0</v>
      </c>
      <c r="K35" s="829">
        <f t="shared" si="2"/>
        <v>0</v>
      </c>
      <c r="L35" s="829">
        <f t="shared" si="2"/>
        <v>10001250</v>
      </c>
      <c r="M35" s="829">
        <f t="shared" si="2"/>
        <v>0</v>
      </c>
      <c r="N35" s="829">
        <f t="shared" si="2"/>
        <v>4286250</v>
      </c>
    </row>
  </sheetData>
  <mergeCells count="35">
    <mergeCell ref="A35:E35"/>
    <mergeCell ref="C30:D30"/>
    <mergeCell ref="C31:D31"/>
    <mergeCell ref="C32:D32"/>
    <mergeCell ref="C33:D33"/>
    <mergeCell ref="C34:D34"/>
    <mergeCell ref="C29:D2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17:D17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A1:M1"/>
    <mergeCell ref="C2:D2"/>
    <mergeCell ref="C3:D3"/>
    <mergeCell ref="C4:D4"/>
    <mergeCell ref="C5:D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>
  <dimension ref="A1:AY22"/>
  <sheetViews>
    <sheetView topLeftCell="B1" workbookViewId="0">
      <pane xSplit="2" ySplit="3" topLeftCell="AH7" activePane="bottomRight" state="frozen"/>
      <selection activeCell="B1" sqref="B1"/>
      <selection pane="topRight" activeCell="D1" sqref="D1"/>
      <selection pane="bottomLeft" activeCell="B4" sqref="B4"/>
      <selection pane="bottomRight" activeCell="B23" sqref="A23:XFD113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5.7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9" width="12.125" style="137" customWidth="1"/>
    <col min="40" max="40" width="9.125" style="137" customWidth="1"/>
    <col min="41" max="41" width="9.875" style="137" customWidth="1"/>
    <col min="42" max="43" width="12.5" style="137" customWidth="1"/>
    <col min="44" max="44" width="14.875" style="137" customWidth="1"/>
    <col min="45" max="45" width="12.5" style="137" customWidth="1"/>
    <col min="46" max="46" width="12.375" style="137" customWidth="1"/>
    <col min="47" max="47" width="11.625" style="137" customWidth="1"/>
    <col min="48" max="49" width="14" style="137" customWidth="1"/>
    <col min="50" max="50" width="9.75" style="137" bestFit="1" customWidth="1"/>
    <col min="51" max="16384" width="9" style="137"/>
  </cols>
  <sheetData>
    <row r="1" spans="1:51" ht="18.75">
      <c r="A1" s="1149" t="s">
        <v>2091</v>
      </c>
      <c r="B1" s="921"/>
      <c r="C1" s="921"/>
      <c r="D1" s="921"/>
      <c r="E1" s="921"/>
      <c r="F1" s="921"/>
      <c r="G1" s="921"/>
      <c r="H1" s="921"/>
      <c r="I1" s="921"/>
      <c r="J1" s="921"/>
      <c r="K1" s="921"/>
      <c r="L1" s="921"/>
      <c r="M1" s="921"/>
      <c r="N1" s="921"/>
      <c r="O1" s="921"/>
      <c r="P1" s="921"/>
      <c r="Q1" s="921"/>
      <c r="R1" s="921"/>
      <c r="S1" s="921"/>
      <c r="T1" s="921"/>
      <c r="U1" s="921"/>
      <c r="V1" s="921"/>
      <c r="W1" s="921"/>
      <c r="X1" s="921"/>
      <c r="Y1" s="921"/>
      <c r="Z1" s="921"/>
      <c r="AA1" s="921"/>
      <c r="AB1" s="921"/>
      <c r="AC1" s="921"/>
      <c r="AD1" s="921"/>
      <c r="AE1" s="921"/>
      <c r="AF1" s="921"/>
      <c r="AG1" s="921"/>
      <c r="AH1" s="921"/>
      <c r="AI1" s="921"/>
      <c r="AJ1" s="921"/>
      <c r="AK1" s="921"/>
      <c r="AL1" s="921"/>
      <c r="AM1" s="921"/>
      <c r="AN1" s="921"/>
      <c r="AO1" s="921"/>
      <c r="AP1" s="921"/>
      <c r="AQ1" s="921"/>
      <c r="AR1" s="921"/>
      <c r="AS1" s="921"/>
      <c r="AT1" s="921"/>
      <c r="AU1" s="870"/>
      <c r="AV1" s="870"/>
      <c r="AW1" s="870"/>
    </row>
    <row r="2" spans="1:51" ht="11.25" customHeight="1">
      <c r="A2" s="1114" t="s">
        <v>594</v>
      </c>
      <c r="B2" s="1114" t="s">
        <v>595</v>
      </c>
      <c r="C2" s="1114" t="s">
        <v>596</v>
      </c>
      <c r="D2" s="1114" t="s">
        <v>2092</v>
      </c>
      <c r="E2" s="1114" t="s">
        <v>597</v>
      </c>
      <c r="F2" s="1114"/>
      <c r="G2" s="1114"/>
      <c r="H2" s="1114"/>
      <c r="I2" s="1114"/>
      <c r="J2" s="1114" t="s">
        <v>2093</v>
      </c>
      <c r="K2" s="1114"/>
      <c r="L2" s="1114"/>
      <c r="M2" s="1114"/>
      <c r="N2" s="1114"/>
      <c r="O2" s="898" t="s">
        <v>2094</v>
      </c>
      <c r="P2" s="898"/>
      <c r="Q2" s="898"/>
      <c r="R2" s="898"/>
      <c r="S2" s="898"/>
      <c r="T2" s="898" t="s">
        <v>598</v>
      </c>
      <c r="U2" s="898"/>
      <c r="V2" s="898"/>
      <c r="W2" s="898"/>
      <c r="X2" s="898"/>
      <c r="Y2" s="898" t="s">
        <v>599</v>
      </c>
      <c r="Z2" s="898"/>
      <c r="AA2" s="898"/>
      <c r="AB2" s="898"/>
      <c r="AC2" s="898"/>
      <c r="AD2" s="1114" t="s">
        <v>2433</v>
      </c>
      <c r="AE2" s="1114"/>
      <c r="AF2" s="1114"/>
      <c r="AG2" s="1114"/>
      <c r="AH2" s="1114"/>
      <c r="AI2" s="1114"/>
      <c r="AJ2" s="1114"/>
      <c r="AK2" s="1114"/>
      <c r="AL2" s="1114"/>
      <c r="AM2" s="1114"/>
      <c r="AN2" s="1114"/>
      <c r="AO2" s="1114"/>
      <c r="AP2" s="1114"/>
      <c r="AQ2" s="1118" t="s">
        <v>2434</v>
      </c>
      <c r="AR2" s="1118" t="s">
        <v>2509</v>
      </c>
      <c r="AS2" s="1118" t="s">
        <v>2437</v>
      </c>
      <c r="AT2" s="1118" t="s">
        <v>2438</v>
      </c>
      <c r="AU2" s="1150" t="s">
        <v>2439</v>
      </c>
      <c r="AV2" s="1119" t="s">
        <v>2440</v>
      </c>
      <c r="AW2" s="1119" t="s">
        <v>2444</v>
      </c>
    </row>
    <row r="3" spans="1:51" ht="33.75">
      <c r="A3" s="1114"/>
      <c r="B3" s="1114"/>
      <c r="C3" s="1114"/>
      <c r="D3" s="1114"/>
      <c r="E3" s="671" t="s">
        <v>600</v>
      </c>
      <c r="F3" s="671" t="s">
        <v>601</v>
      </c>
      <c r="G3" s="671" t="s">
        <v>602</v>
      </c>
      <c r="H3" s="671" t="s">
        <v>603</v>
      </c>
      <c r="I3" s="782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782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787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787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782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2431</v>
      </c>
      <c r="AM3" s="671" t="s">
        <v>2436</v>
      </c>
      <c r="AN3" s="671" t="s">
        <v>2435</v>
      </c>
      <c r="AO3" s="671" t="s">
        <v>2432</v>
      </c>
      <c r="AP3" s="782" t="s">
        <v>531</v>
      </c>
      <c r="AQ3" s="1116"/>
      <c r="AR3" s="1116"/>
      <c r="AS3" s="1116"/>
      <c r="AT3" s="1116"/>
      <c r="AU3" s="1151"/>
      <c r="AV3" s="1120"/>
      <c r="AW3" s="1120"/>
    </row>
    <row r="4" spans="1:51" ht="15" customHeight="1">
      <c r="A4" s="141" t="s">
        <v>538</v>
      </c>
      <c r="B4" s="240" t="s">
        <v>2125</v>
      </c>
      <c r="C4" s="240" t="s">
        <v>2099</v>
      </c>
      <c r="D4" s="672">
        <v>2</v>
      </c>
      <c r="E4" s="165">
        <v>4.67</v>
      </c>
      <c r="F4" s="165">
        <v>3</v>
      </c>
      <c r="G4" s="165">
        <v>36</v>
      </c>
      <c r="H4" s="165">
        <v>3.67</v>
      </c>
      <c r="I4" s="144">
        <f t="shared" ref="I4:I21" si="0">SUM(E4:H4)</f>
        <v>47.34</v>
      </c>
      <c r="J4" s="672">
        <v>5</v>
      </c>
      <c r="K4" s="672">
        <v>1</v>
      </c>
      <c r="L4" s="672">
        <v>1</v>
      </c>
      <c r="M4" s="672">
        <v>0</v>
      </c>
      <c r="N4" s="144">
        <f t="shared" ref="N4:N21" si="1">SUM(J4:M4)</f>
        <v>7</v>
      </c>
      <c r="O4" s="144">
        <f t="shared" ref="O4:R21" si="2">E4+J4</f>
        <v>9.67</v>
      </c>
      <c r="P4" s="144">
        <f t="shared" si="2"/>
        <v>4</v>
      </c>
      <c r="Q4" s="144">
        <f t="shared" si="2"/>
        <v>37</v>
      </c>
      <c r="R4" s="144">
        <f t="shared" si="2"/>
        <v>3.67</v>
      </c>
      <c r="S4" s="144">
        <f t="shared" ref="S4:S21" si="3">SUM(O4:R4)</f>
        <v>54.34</v>
      </c>
      <c r="T4" s="672">
        <v>9.83</v>
      </c>
      <c r="U4" s="672">
        <v>4.42</v>
      </c>
      <c r="V4" s="672">
        <v>35.58</v>
      </c>
      <c r="W4" s="672">
        <v>3.58</v>
      </c>
      <c r="X4" s="144">
        <f t="shared" ref="X4:X21" si="4">SUM(T4:W4)</f>
        <v>53.41</v>
      </c>
      <c r="Y4" s="672">
        <v>9.83</v>
      </c>
      <c r="Z4" s="672">
        <v>4.42</v>
      </c>
      <c r="AA4" s="672">
        <v>35.58</v>
      </c>
      <c r="AB4" s="672">
        <v>3.58</v>
      </c>
      <c r="AC4" s="144">
        <f t="shared" ref="AC4:AC21" si="5">SUM(Y4:AB4)</f>
        <v>53.41</v>
      </c>
      <c r="AD4" s="144">
        <f t="shared" ref="AD4:AD19" si="6">(Y4*6017+Z4*5250+AA4*5194+AB4*4250)*12+AB4*50*5</f>
        <v>3389330.56</v>
      </c>
      <c r="AE4" s="144">
        <f t="shared" ref="AE4:AE19" si="7">AC4*4320</f>
        <v>230731.19999999998</v>
      </c>
      <c r="AF4" s="144">
        <f t="shared" ref="AF4:AF19" si="8">AC4*6000</f>
        <v>320460</v>
      </c>
      <c r="AG4" s="144">
        <f t="shared" ref="AG4:AG19" si="9">AC4*2400</f>
        <v>128183.99999999999</v>
      </c>
      <c r="AH4" s="144">
        <f t="shared" ref="AH4:AH19" si="10">AC4*8800</f>
        <v>470007.99999999994</v>
      </c>
      <c r="AI4" s="144">
        <f t="shared" ref="AI4:AI19" si="11">AC4*800</f>
        <v>42728</v>
      </c>
      <c r="AJ4" s="144">
        <f t="shared" ref="AJ4:AJ19" si="12">D4*50*200</f>
        <v>20000</v>
      </c>
      <c r="AK4" s="144">
        <f t="shared" ref="AK4:AK19" si="13">AC4*960</f>
        <v>51273.599999999999</v>
      </c>
      <c r="AL4" s="144">
        <f t="shared" ref="AL4:AL19" si="14">ROUND((AD4+AH4+AI4+AJ4+AM4)*0.35256,2)</f>
        <v>1382763.79</v>
      </c>
      <c r="AM4" s="144"/>
      <c r="AN4" s="144"/>
      <c r="AO4" s="144"/>
      <c r="AP4" s="144">
        <f t="shared" ref="AP4:AP19" si="15">SUM(AD4:AO4)</f>
        <v>6035479.1499999994</v>
      </c>
      <c r="AQ4" s="144">
        <v>5868292</v>
      </c>
      <c r="AR4" s="144">
        <f t="shared" ref="AR4:AR19" si="16">(Y4*450+Z4*300+AA4*100+AB4*50)*6+AC4*300-AB4*50*5</f>
        <v>72047</v>
      </c>
      <c r="AS4" s="144">
        <f t="shared" ref="AS4:AS19" si="17">AQ4+AR4</f>
        <v>5940339</v>
      </c>
      <c r="AT4" s="675">
        <v>3542126</v>
      </c>
      <c r="AU4" s="785">
        <v>1180709</v>
      </c>
      <c r="AV4" s="610">
        <f t="shared" ref="AV4:AV19" si="18">AS4-AT4-AU4</f>
        <v>1217504</v>
      </c>
      <c r="AW4" s="610"/>
      <c r="AX4" s="145">
        <f>AP4-AQ4</f>
        <v>167187.14999999944</v>
      </c>
    </row>
    <row r="5" spans="1:51" ht="15" customHeight="1">
      <c r="A5" s="141" t="s">
        <v>538</v>
      </c>
      <c r="B5" s="240" t="s">
        <v>2126</v>
      </c>
      <c r="C5" s="240" t="s">
        <v>2099</v>
      </c>
      <c r="D5" s="672">
        <v>2</v>
      </c>
      <c r="E5" s="165">
        <v>11</v>
      </c>
      <c r="F5" s="165">
        <v>3</v>
      </c>
      <c r="G5" s="165">
        <v>26.33</v>
      </c>
      <c r="H5" s="165">
        <v>3</v>
      </c>
      <c r="I5" s="144">
        <f t="shared" si="0"/>
        <v>43.33</v>
      </c>
      <c r="J5" s="672">
        <v>3</v>
      </c>
      <c r="K5" s="672">
        <v>1</v>
      </c>
      <c r="L5" s="672">
        <v>0</v>
      </c>
      <c r="M5" s="672">
        <v>0</v>
      </c>
      <c r="N5" s="144">
        <f t="shared" si="1"/>
        <v>4</v>
      </c>
      <c r="O5" s="144">
        <f t="shared" si="2"/>
        <v>14</v>
      </c>
      <c r="P5" s="144">
        <f t="shared" si="2"/>
        <v>4</v>
      </c>
      <c r="Q5" s="144">
        <f t="shared" si="2"/>
        <v>26.33</v>
      </c>
      <c r="R5" s="144">
        <f t="shared" si="2"/>
        <v>3</v>
      </c>
      <c r="S5" s="144">
        <f t="shared" si="3"/>
        <v>47.33</v>
      </c>
      <c r="T5" s="672">
        <v>14.17</v>
      </c>
      <c r="U5" s="672">
        <v>3.17</v>
      </c>
      <c r="V5" s="672">
        <v>24.5</v>
      </c>
      <c r="W5" s="672">
        <v>4.75</v>
      </c>
      <c r="X5" s="144">
        <f t="shared" si="4"/>
        <v>46.59</v>
      </c>
      <c r="Y5" s="672">
        <v>14.17</v>
      </c>
      <c r="Z5" s="672">
        <v>3.17</v>
      </c>
      <c r="AA5" s="672">
        <v>24.5</v>
      </c>
      <c r="AB5" s="672">
        <v>4.75</v>
      </c>
      <c r="AC5" s="144">
        <f t="shared" si="5"/>
        <v>46.59</v>
      </c>
      <c r="AD5" s="144">
        <f t="shared" si="6"/>
        <v>2993314.18</v>
      </c>
      <c r="AE5" s="144">
        <f t="shared" si="7"/>
        <v>201268.80000000002</v>
      </c>
      <c r="AF5" s="144">
        <f t="shared" si="8"/>
        <v>279540</v>
      </c>
      <c r="AG5" s="144">
        <f t="shared" si="9"/>
        <v>111816.00000000001</v>
      </c>
      <c r="AH5" s="144">
        <f t="shared" si="10"/>
        <v>409992.00000000006</v>
      </c>
      <c r="AI5" s="144">
        <f t="shared" si="11"/>
        <v>37272</v>
      </c>
      <c r="AJ5" s="144">
        <f t="shared" si="12"/>
        <v>20000</v>
      </c>
      <c r="AK5" s="144">
        <f t="shared" si="13"/>
        <v>44726.400000000001</v>
      </c>
      <c r="AL5" s="144">
        <f t="shared" si="14"/>
        <v>1220061.44</v>
      </c>
      <c r="AM5" s="144"/>
      <c r="AN5" s="144"/>
      <c r="AO5" s="144"/>
      <c r="AP5" s="144">
        <f t="shared" si="15"/>
        <v>5317990.82</v>
      </c>
      <c r="AQ5" s="144">
        <v>5021560.55</v>
      </c>
      <c r="AR5" s="144">
        <f t="shared" si="16"/>
        <v>72879.5</v>
      </c>
      <c r="AS5" s="144">
        <f t="shared" si="17"/>
        <v>5094440.05</v>
      </c>
      <c r="AT5" s="675">
        <v>2997056</v>
      </c>
      <c r="AU5" s="785">
        <v>999019</v>
      </c>
      <c r="AV5" s="610">
        <f t="shared" si="18"/>
        <v>1098365.0499999998</v>
      </c>
      <c r="AW5" s="610"/>
      <c r="AX5" s="145">
        <f t="shared" ref="AX5:AX21" si="19">AP5-AQ5</f>
        <v>296430.27000000048</v>
      </c>
    </row>
    <row r="6" spans="1:51" ht="15" customHeight="1">
      <c r="A6" s="141" t="s">
        <v>538</v>
      </c>
      <c r="B6" s="240" t="s">
        <v>428</v>
      </c>
      <c r="C6" s="240" t="s">
        <v>2099</v>
      </c>
      <c r="D6" s="672">
        <v>2</v>
      </c>
      <c r="E6" s="165">
        <v>17.670000000000002</v>
      </c>
      <c r="F6" s="165">
        <v>3</v>
      </c>
      <c r="G6" s="165">
        <v>42.67</v>
      </c>
      <c r="H6" s="165">
        <v>4</v>
      </c>
      <c r="I6" s="144">
        <f t="shared" si="0"/>
        <v>67.34</v>
      </c>
      <c r="J6" s="672">
        <v>1</v>
      </c>
      <c r="K6" s="672">
        <v>0</v>
      </c>
      <c r="L6" s="672">
        <v>0</v>
      </c>
      <c r="M6" s="672">
        <v>0</v>
      </c>
      <c r="N6" s="144">
        <f t="shared" si="1"/>
        <v>1</v>
      </c>
      <c r="O6" s="144">
        <f t="shared" si="2"/>
        <v>18.670000000000002</v>
      </c>
      <c r="P6" s="144">
        <f t="shared" si="2"/>
        <v>3</v>
      </c>
      <c r="Q6" s="144">
        <f t="shared" si="2"/>
        <v>42.67</v>
      </c>
      <c r="R6" s="144">
        <f t="shared" si="2"/>
        <v>4</v>
      </c>
      <c r="S6" s="144">
        <f t="shared" si="3"/>
        <v>68.34</v>
      </c>
      <c r="T6" s="672">
        <v>12.92</v>
      </c>
      <c r="U6" s="672">
        <v>7.92</v>
      </c>
      <c r="V6" s="672">
        <v>41.25</v>
      </c>
      <c r="W6" s="672">
        <v>6.17</v>
      </c>
      <c r="X6" s="144">
        <f t="shared" si="4"/>
        <v>68.260000000000005</v>
      </c>
      <c r="Y6" s="672">
        <v>12.92</v>
      </c>
      <c r="Z6" s="672">
        <v>7.92</v>
      </c>
      <c r="AA6" s="672">
        <v>41.25</v>
      </c>
      <c r="AB6" s="672">
        <v>6.17</v>
      </c>
      <c r="AC6" s="144">
        <f t="shared" si="5"/>
        <v>68.260000000000005</v>
      </c>
      <c r="AD6" s="144">
        <f t="shared" si="6"/>
        <v>4319078.18</v>
      </c>
      <c r="AE6" s="144">
        <f t="shared" si="7"/>
        <v>294883.20000000001</v>
      </c>
      <c r="AF6" s="144">
        <f t="shared" si="8"/>
        <v>409560.00000000006</v>
      </c>
      <c r="AG6" s="144">
        <f t="shared" si="9"/>
        <v>163824</v>
      </c>
      <c r="AH6" s="144">
        <f t="shared" si="10"/>
        <v>600688</v>
      </c>
      <c r="AI6" s="144">
        <f t="shared" si="11"/>
        <v>54608.000000000007</v>
      </c>
      <c r="AJ6" s="144">
        <f t="shared" si="12"/>
        <v>20000</v>
      </c>
      <c r="AK6" s="144">
        <f t="shared" si="13"/>
        <v>65529.600000000006</v>
      </c>
      <c r="AL6" s="144">
        <f t="shared" si="14"/>
        <v>1760816.56</v>
      </c>
      <c r="AM6" s="144"/>
      <c r="AN6" s="144"/>
      <c r="AO6" s="144"/>
      <c r="AP6" s="144">
        <f t="shared" si="15"/>
        <v>7688987.5399999991</v>
      </c>
      <c r="AQ6" s="144">
        <v>7524285.6300000008</v>
      </c>
      <c r="AR6" s="144">
        <f t="shared" si="16"/>
        <v>94676.5</v>
      </c>
      <c r="AS6" s="144">
        <f t="shared" si="17"/>
        <v>7618962.1300000008</v>
      </c>
      <c r="AT6" s="675">
        <v>4426671</v>
      </c>
      <c r="AU6" s="785">
        <v>1475557</v>
      </c>
      <c r="AV6" s="610">
        <f t="shared" si="18"/>
        <v>1716734.1300000008</v>
      </c>
      <c r="AW6" s="610"/>
      <c r="AX6" s="145">
        <f t="shared" si="19"/>
        <v>164701.90999999829</v>
      </c>
    </row>
    <row r="7" spans="1:51" ht="15" customHeight="1">
      <c r="A7" s="141" t="s">
        <v>538</v>
      </c>
      <c r="B7" s="240" t="s">
        <v>2127</v>
      </c>
      <c r="C7" s="240" t="s">
        <v>2099</v>
      </c>
      <c r="D7" s="672">
        <v>2</v>
      </c>
      <c r="E7" s="165">
        <v>0.67</v>
      </c>
      <c r="F7" s="165">
        <v>3</v>
      </c>
      <c r="G7" s="165">
        <v>33</v>
      </c>
      <c r="H7" s="165">
        <v>3</v>
      </c>
      <c r="I7" s="144">
        <f t="shared" si="0"/>
        <v>39.67</v>
      </c>
      <c r="J7" s="672">
        <v>4</v>
      </c>
      <c r="K7" s="672">
        <v>0</v>
      </c>
      <c r="L7" s="672">
        <v>0</v>
      </c>
      <c r="M7" s="672">
        <v>0</v>
      </c>
      <c r="N7" s="144">
        <f t="shared" si="1"/>
        <v>4</v>
      </c>
      <c r="O7" s="144">
        <f t="shared" si="2"/>
        <v>4.67</v>
      </c>
      <c r="P7" s="144">
        <f t="shared" si="2"/>
        <v>3</v>
      </c>
      <c r="Q7" s="144">
        <f t="shared" si="2"/>
        <v>33</v>
      </c>
      <c r="R7" s="144">
        <f t="shared" si="2"/>
        <v>3</v>
      </c>
      <c r="S7" s="144">
        <f t="shared" si="3"/>
        <v>43.67</v>
      </c>
      <c r="T7" s="672">
        <v>4.92</v>
      </c>
      <c r="U7" s="672">
        <v>2</v>
      </c>
      <c r="V7" s="672">
        <v>32.75</v>
      </c>
      <c r="W7" s="672">
        <v>3.67</v>
      </c>
      <c r="X7" s="144">
        <f t="shared" si="4"/>
        <v>43.34</v>
      </c>
      <c r="Y7" s="672">
        <v>4.92</v>
      </c>
      <c r="Z7" s="672">
        <v>2</v>
      </c>
      <c r="AA7" s="672">
        <v>32.75</v>
      </c>
      <c r="AB7" s="672">
        <v>3.67</v>
      </c>
      <c r="AC7" s="144">
        <f t="shared" si="5"/>
        <v>43.34</v>
      </c>
      <c r="AD7" s="144">
        <f t="shared" si="6"/>
        <v>2710573.18</v>
      </c>
      <c r="AE7" s="144">
        <f t="shared" si="7"/>
        <v>187228.80000000002</v>
      </c>
      <c r="AF7" s="144">
        <f t="shared" si="8"/>
        <v>260040.00000000003</v>
      </c>
      <c r="AG7" s="144">
        <f t="shared" si="9"/>
        <v>104016.00000000001</v>
      </c>
      <c r="AH7" s="144">
        <f t="shared" si="10"/>
        <v>381392.00000000006</v>
      </c>
      <c r="AI7" s="144">
        <f t="shared" si="11"/>
        <v>34672</v>
      </c>
      <c r="AJ7" s="144">
        <f t="shared" si="12"/>
        <v>20000</v>
      </c>
      <c r="AK7" s="144">
        <f t="shared" si="13"/>
        <v>41606.400000000001</v>
      </c>
      <c r="AL7" s="144">
        <f t="shared" si="14"/>
        <v>1109378.3999999999</v>
      </c>
      <c r="AM7" s="144"/>
      <c r="AN7" s="144"/>
      <c r="AO7" s="144"/>
      <c r="AP7" s="144">
        <f t="shared" si="15"/>
        <v>4848906.7799999993</v>
      </c>
      <c r="AQ7" s="144">
        <v>4911877.05</v>
      </c>
      <c r="AR7" s="144">
        <f t="shared" si="16"/>
        <v>49719.5</v>
      </c>
      <c r="AS7" s="144">
        <f t="shared" si="17"/>
        <v>4961596.55</v>
      </c>
      <c r="AT7" s="675">
        <v>3045595</v>
      </c>
      <c r="AU7" s="785">
        <v>1015198</v>
      </c>
      <c r="AV7" s="610">
        <f t="shared" si="18"/>
        <v>900803.54999999981</v>
      </c>
      <c r="AW7" s="610"/>
      <c r="AX7" s="145">
        <f t="shared" si="19"/>
        <v>-62970.270000000484</v>
      </c>
      <c r="AY7" s="137" t="s">
        <v>2441</v>
      </c>
    </row>
    <row r="8" spans="1:51" ht="15" customHeight="1">
      <c r="A8" s="141" t="s">
        <v>538</v>
      </c>
      <c r="B8" s="240" t="s">
        <v>2128</v>
      </c>
      <c r="C8" s="240" t="s">
        <v>2101</v>
      </c>
      <c r="D8" s="672"/>
      <c r="E8" s="165">
        <v>6</v>
      </c>
      <c r="F8" s="165">
        <v>5</v>
      </c>
      <c r="G8" s="165">
        <v>0</v>
      </c>
      <c r="H8" s="165">
        <v>6</v>
      </c>
      <c r="I8" s="144">
        <f t="shared" si="0"/>
        <v>17</v>
      </c>
      <c r="J8" s="672">
        <v>1</v>
      </c>
      <c r="K8" s="672">
        <v>0</v>
      </c>
      <c r="L8" s="672">
        <v>0</v>
      </c>
      <c r="M8" s="672">
        <v>0</v>
      </c>
      <c r="N8" s="144">
        <f t="shared" si="1"/>
        <v>1</v>
      </c>
      <c r="O8" s="144">
        <f t="shared" si="2"/>
        <v>7</v>
      </c>
      <c r="P8" s="144">
        <f t="shared" si="2"/>
        <v>5</v>
      </c>
      <c r="Q8" s="144">
        <f t="shared" si="2"/>
        <v>0</v>
      </c>
      <c r="R8" s="144">
        <f t="shared" si="2"/>
        <v>6</v>
      </c>
      <c r="S8" s="144">
        <f t="shared" si="3"/>
        <v>18</v>
      </c>
      <c r="T8" s="672">
        <v>4.67</v>
      </c>
      <c r="U8" s="672">
        <v>3.5</v>
      </c>
      <c r="V8" s="672">
        <v>0</v>
      </c>
      <c r="W8" s="672">
        <v>9.75</v>
      </c>
      <c r="X8" s="144">
        <f t="shared" si="4"/>
        <v>17.920000000000002</v>
      </c>
      <c r="Y8" s="672">
        <v>4.67</v>
      </c>
      <c r="Z8" s="672">
        <v>3.5</v>
      </c>
      <c r="AA8" s="672">
        <v>0</v>
      </c>
      <c r="AB8" s="672">
        <v>9.75</v>
      </c>
      <c r="AC8" s="144">
        <f t="shared" si="5"/>
        <v>17.920000000000002</v>
      </c>
      <c r="AD8" s="144">
        <f t="shared" si="6"/>
        <v>1057380.18</v>
      </c>
      <c r="AE8" s="144">
        <f t="shared" si="7"/>
        <v>77414.400000000009</v>
      </c>
      <c r="AF8" s="144">
        <f t="shared" si="8"/>
        <v>107520.00000000001</v>
      </c>
      <c r="AG8" s="144">
        <f t="shared" si="9"/>
        <v>43008.000000000007</v>
      </c>
      <c r="AH8" s="144">
        <f t="shared" si="10"/>
        <v>157696.00000000003</v>
      </c>
      <c r="AI8" s="144">
        <f t="shared" si="11"/>
        <v>14336.000000000002</v>
      </c>
      <c r="AJ8" s="144">
        <f t="shared" si="12"/>
        <v>0</v>
      </c>
      <c r="AK8" s="144">
        <f t="shared" si="13"/>
        <v>17203.2</v>
      </c>
      <c r="AL8" s="144">
        <f t="shared" si="14"/>
        <v>442635.15</v>
      </c>
      <c r="AM8" s="144">
        <v>26076.67</v>
      </c>
      <c r="AN8" s="144"/>
      <c r="AO8" s="144"/>
      <c r="AP8" s="144">
        <f t="shared" si="15"/>
        <v>1943269.5999999996</v>
      </c>
      <c r="AQ8" s="144">
        <v>1449962.1099999999</v>
      </c>
      <c r="AR8" s="144">
        <f t="shared" si="16"/>
        <v>24772.5</v>
      </c>
      <c r="AS8" s="144">
        <f t="shared" si="17"/>
        <v>1474734.6099999999</v>
      </c>
      <c r="AT8" s="675">
        <v>1281486</v>
      </c>
      <c r="AU8" s="785">
        <v>427162</v>
      </c>
      <c r="AV8" s="610">
        <f t="shared" si="18"/>
        <v>-233913.39000000013</v>
      </c>
      <c r="AW8" s="610"/>
      <c r="AX8" s="145">
        <f t="shared" si="19"/>
        <v>493307.48999999976</v>
      </c>
    </row>
    <row r="9" spans="1:51" ht="15" customHeight="1">
      <c r="A9" s="141" t="s">
        <v>538</v>
      </c>
      <c r="B9" s="240" t="s">
        <v>896</v>
      </c>
      <c r="C9" s="240" t="s">
        <v>2101</v>
      </c>
      <c r="D9" s="672"/>
      <c r="E9" s="165">
        <v>0</v>
      </c>
      <c r="F9" s="165">
        <v>4</v>
      </c>
      <c r="G9" s="165">
        <v>0</v>
      </c>
      <c r="H9" s="165">
        <v>4.67</v>
      </c>
      <c r="I9" s="144">
        <f t="shared" si="0"/>
        <v>8.67</v>
      </c>
      <c r="J9" s="672">
        <v>9</v>
      </c>
      <c r="K9" s="672">
        <v>0</v>
      </c>
      <c r="L9" s="672">
        <v>0</v>
      </c>
      <c r="M9" s="672">
        <v>0</v>
      </c>
      <c r="N9" s="144">
        <f t="shared" si="1"/>
        <v>9</v>
      </c>
      <c r="O9" s="144">
        <f t="shared" si="2"/>
        <v>9</v>
      </c>
      <c r="P9" s="144">
        <f t="shared" si="2"/>
        <v>4</v>
      </c>
      <c r="Q9" s="144">
        <f t="shared" si="2"/>
        <v>0</v>
      </c>
      <c r="R9" s="144">
        <f t="shared" si="2"/>
        <v>4.67</v>
      </c>
      <c r="S9" s="144">
        <f t="shared" si="3"/>
        <v>17.670000000000002</v>
      </c>
      <c r="T9" s="672">
        <v>6.33</v>
      </c>
      <c r="U9" s="672">
        <v>5</v>
      </c>
      <c r="V9" s="672">
        <v>1</v>
      </c>
      <c r="W9" s="672">
        <v>5</v>
      </c>
      <c r="X9" s="144">
        <f t="shared" si="4"/>
        <v>17.329999999999998</v>
      </c>
      <c r="Y9" s="672">
        <v>6.33</v>
      </c>
      <c r="Z9" s="672">
        <v>5</v>
      </c>
      <c r="AA9" s="672">
        <v>1</v>
      </c>
      <c r="AB9" s="672">
        <v>5</v>
      </c>
      <c r="AC9" s="144">
        <f t="shared" si="5"/>
        <v>17.329999999999998</v>
      </c>
      <c r="AD9" s="144">
        <f t="shared" si="6"/>
        <v>1090629.32</v>
      </c>
      <c r="AE9" s="144">
        <f t="shared" si="7"/>
        <v>74865.599999999991</v>
      </c>
      <c r="AF9" s="144">
        <f t="shared" si="8"/>
        <v>103979.99999999999</v>
      </c>
      <c r="AG9" s="144">
        <f t="shared" si="9"/>
        <v>41591.999999999993</v>
      </c>
      <c r="AH9" s="144">
        <f t="shared" si="10"/>
        <v>152503.99999999997</v>
      </c>
      <c r="AI9" s="144">
        <f t="shared" si="11"/>
        <v>13863.999999999998</v>
      </c>
      <c r="AJ9" s="144">
        <f t="shared" si="12"/>
        <v>0</v>
      </c>
      <c r="AK9" s="144">
        <f t="shared" si="13"/>
        <v>16636.8</v>
      </c>
      <c r="AL9" s="144">
        <f t="shared" si="14"/>
        <v>497753.13</v>
      </c>
      <c r="AM9" s="144">
        <v>154828</v>
      </c>
      <c r="AN9" s="144"/>
      <c r="AO9" s="144"/>
      <c r="AP9" s="144">
        <f t="shared" si="15"/>
        <v>2146652.85</v>
      </c>
      <c r="AQ9" s="144">
        <v>2100692.83</v>
      </c>
      <c r="AR9" s="144">
        <f t="shared" si="16"/>
        <v>32140</v>
      </c>
      <c r="AS9" s="144">
        <f t="shared" si="17"/>
        <v>2132832.83</v>
      </c>
      <c r="AT9" s="675">
        <v>975791</v>
      </c>
      <c r="AU9" s="785">
        <v>325264</v>
      </c>
      <c r="AV9" s="610">
        <f t="shared" si="18"/>
        <v>831777.83000000007</v>
      </c>
      <c r="AW9" s="610"/>
      <c r="AX9" s="145">
        <f t="shared" si="19"/>
        <v>45960.020000000019</v>
      </c>
    </row>
    <row r="10" spans="1:51" ht="15" customHeight="1">
      <c r="A10" s="141" t="s">
        <v>538</v>
      </c>
      <c r="B10" s="240" t="s">
        <v>898</v>
      </c>
      <c r="C10" s="240" t="s">
        <v>2101</v>
      </c>
      <c r="D10" s="672"/>
      <c r="E10" s="165">
        <v>1.33</v>
      </c>
      <c r="F10" s="165">
        <v>4.33</v>
      </c>
      <c r="G10" s="165">
        <v>0</v>
      </c>
      <c r="H10" s="165">
        <v>5.67</v>
      </c>
      <c r="I10" s="144">
        <f t="shared" si="0"/>
        <v>11.33</v>
      </c>
      <c r="J10" s="672">
        <v>2</v>
      </c>
      <c r="K10" s="672">
        <v>0</v>
      </c>
      <c r="L10" s="672">
        <v>0</v>
      </c>
      <c r="M10" s="672">
        <v>2</v>
      </c>
      <c r="N10" s="144">
        <f t="shared" si="1"/>
        <v>4</v>
      </c>
      <c r="O10" s="144">
        <f t="shared" si="2"/>
        <v>3.33</v>
      </c>
      <c r="P10" s="144">
        <f t="shared" si="2"/>
        <v>4.33</v>
      </c>
      <c r="Q10" s="144">
        <f t="shared" si="2"/>
        <v>0</v>
      </c>
      <c r="R10" s="144">
        <f t="shared" si="2"/>
        <v>7.67</v>
      </c>
      <c r="S10" s="144">
        <f t="shared" si="3"/>
        <v>15.33</v>
      </c>
      <c r="T10" s="672">
        <v>3.17</v>
      </c>
      <c r="U10" s="672">
        <v>4</v>
      </c>
      <c r="V10" s="672">
        <v>0</v>
      </c>
      <c r="W10" s="672">
        <v>7.92</v>
      </c>
      <c r="X10" s="144">
        <f t="shared" si="4"/>
        <v>15.09</v>
      </c>
      <c r="Y10" s="672">
        <v>3.17</v>
      </c>
      <c r="Z10" s="672">
        <v>4</v>
      </c>
      <c r="AA10" s="672">
        <v>0</v>
      </c>
      <c r="AB10" s="672">
        <v>7.92</v>
      </c>
      <c r="AC10" s="144">
        <f t="shared" si="5"/>
        <v>15.09</v>
      </c>
      <c r="AD10" s="144">
        <f t="shared" si="6"/>
        <v>886786.67999999993</v>
      </c>
      <c r="AE10" s="144">
        <f t="shared" si="7"/>
        <v>65188.800000000003</v>
      </c>
      <c r="AF10" s="144">
        <f t="shared" si="8"/>
        <v>90540</v>
      </c>
      <c r="AG10" s="144">
        <f t="shared" si="9"/>
        <v>36216</v>
      </c>
      <c r="AH10" s="144">
        <f t="shared" si="10"/>
        <v>132792</v>
      </c>
      <c r="AI10" s="144">
        <f t="shared" si="11"/>
        <v>12072</v>
      </c>
      <c r="AJ10" s="144">
        <f t="shared" si="12"/>
        <v>0</v>
      </c>
      <c r="AK10" s="144">
        <f t="shared" si="13"/>
        <v>14486.4</v>
      </c>
      <c r="AL10" s="144">
        <f t="shared" si="14"/>
        <v>377749.24</v>
      </c>
      <c r="AM10" s="144">
        <v>39796</v>
      </c>
      <c r="AN10" s="144"/>
      <c r="AO10" s="144"/>
      <c r="AP10" s="144">
        <f t="shared" si="15"/>
        <v>1655627.1199999999</v>
      </c>
      <c r="AQ10" s="144">
        <v>1667855.92</v>
      </c>
      <c r="AR10" s="144">
        <f t="shared" si="16"/>
        <v>20682</v>
      </c>
      <c r="AS10" s="144">
        <f t="shared" si="17"/>
        <v>1688537.92</v>
      </c>
      <c r="AT10" s="675">
        <v>937745</v>
      </c>
      <c r="AU10" s="785">
        <v>312582</v>
      </c>
      <c r="AV10" s="610">
        <f t="shared" si="18"/>
        <v>438210.91999999993</v>
      </c>
      <c r="AW10" s="610"/>
      <c r="AX10" s="145">
        <f t="shared" si="19"/>
        <v>-12228.800000000047</v>
      </c>
      <c r="AY10" s="137" t="s">
        <v>2441</v>
      </c>
    </row>
    <row r="11" spans="1:51" ht="15" customHeight="1">
      <c r="A11" s="141" t="s">
        <v>538</v>
      </c>
      <c r="B11" s="240" t="s">
        <v>897</v>
      </c>
      <c r="C11" s="240" t="s">
        <v>2101</v>
      </c>
      <c r="D11" s="672"/>
      <c r="E11" s="165">
        <v>4</v>
      </c>
      <c r="F11" s="165">
        <v>5.33</v>
      </c>
      <c r="G11" s="165">
        <v>0</v>
      </c>
      <c r="H11" s="165">
        <v>6.33</v>
      </c>
      <c r="I11" s="144">
        <f t="shared" si="0"/>
        <v>15.66</v>
      </c>
      <c r="J11" s="672">
        <v>3</v>
      </c>
      <c r="K11" s="672">
        <v>0</v>
      </c>
      <c r="L11" s="672">
        <v>0</v>
      </c>
      <c r="M11" s="672">
        <v>0</v>
      </c>
      <c r="N11" s="144">
        <f t="shared" si="1"/>
        <v>3</v>
      </c>
      <c r="O11" s="144">
        <f t="shared" si="2"/>
        <v>7</v>
      </c>
      <c r="P11" s="144">
        <f t="shared" si="2"/>
        <v>5.33</v>
      </c>
      <c r="Q11" s="144">
        <f t="shared" si="2"/>
        <v>0</v>
      </c>
      <c r="R11" s="144">
        <f t="shared" si="2"/>
        <v>6.33</v>
      </c>
      <c r="S11" s="144">
        <f t="shared" si="3"/>
        <v>18.66</v>
      </c>
      <c r="T11" s="672">
        <v>5.08</v>
      </c>
      <c r="U11" s="672">
        <v>5</v>
      </c>
      <c r="V11" s="672">
        <v>0</v>
      </c>
      <c r="W11" s="672">
        <v>8</v>
      </c>
      <c r="X11" s="144">
        <f t="shared" si="4"/>
        <v>18.079999999999998</v>
      </c>
      <c r="Y11" s="672">
        <v>5.08</v>
      </c>
      <c r="Z11" s="672">
        <v>5</v>
      </c>
      <c r="AA11" s="672">
        <v>0</v>
      </c>
      <c r="AB11" s="672">
        <v>8</v>
      </c>
      <c r="AC11" s="144">
        <f t="shared" si="5"/>
        <v>18.079999999999998</v>
      </c>
      <c r="AD11" s="144">
        <f t="shared" si="6"/>
        <v>1091796.32</v>
      </c>
      <c r="AE11" s="144">
        <f t="shared" si="7"/>
        <v>78105.599999999991</v>
      </c>
      <c r="AF11" s="144">
        <f t="shared" si="8"/>
        <v>108479.99999999999</v>
      </c>
      <c r="AG11" s="144">
        <f t="shared" si="9"/>
        <v>43391.999999999993</v>
      </c>
      <c r="AH11" s="144">
        <f t="shared" si="10"/>
        <v>159103.99999999997</v>
      </c>
      <c r="AI11" s="144">
        <f t="shared" si="11"/>
        <v>14463.999999999998</v>
      </c>
      <c r="AJ11" s="144">
        <f t="shared" si="12"/>
        <v>0</v>
      </c>
      <c r="AK11" s="144">
        <f t="shared" si="13"/>
        <v>17356.8</v>
      </c>
      <c r="AL11" s="144">
        <f t="shared" si="14"/>
        <v>477847.24</v>
      </c>
      <c r="AM11" s="144">
        <v>90000</v>
      </c>
      <c r="AN11" s="144"/>
      <c r="AO11" s="144"/>
      <c r="AP11" s="144">
        <f t="shared" si="15"/>
        <v>2080545.9600000002</v>
      </c>
      <c r="AQ11" s="144">
        <v>1879054.3</v>
      </c>
      <c r="AR11" s="144">
        <f t="shared" si="16"/>
        <v>28540</v>
      </c>
      <c r="AS11" s="144">
        <f t="shared" si="17"/>
        <v>1907594.3</v>
      </c>
      <c r="AT11" s="675">
        <v>1326908</v>
      </c>
      <c r="AU11" s="785">
        <v>442303</v>
      </c>
      <c r="AV11" s="610">
        <f t="shared" si="18"/>
        <v>138383.30000000005</v>
      </c>
      <c r="AW11" s="610"/>
      <c r="AX11" s="145">
        <f t="shared" si="19"/>
        <v>201491.66000000015</v>
      </c>
    </row>
    <row r="12" spans="1:51" ht="15" customHeight="1">
      <c r="A12" s="141" t="s">
        <v>538</v>
      </c>
      <c r="B12" s="240" t="s">
        <v>2129</v>
      </c>
      <c r="C12" s="240" t="s">
        <v>2101</v>
      </c>
      <c r="D12" s="672"/>
      <c r="E12" s="165">
        <v>0.67</v>
      </c>
      <c r="F12" s="165">
        <v>3.67</v>
      </c>
      <c r="G12" s="165">
        <v>0</v>
      </c>
      <c r="H12" s="165">
        <v>6</v>
      </c>
      <c r="I12" s="144">
        <f t="shared" si="0"/>
        <v>10.34</v>
      </c>
      <c r="J12" s="672">
        <v>1</v>
      </c>
      <c r="K12" s="672">
        <v>0</v>
      </c>
      <c r="L12" s="672">
        <v>0</v>
      </c>
      <c r="M12" s="672">
        <v>0</v>
      </c>
      <c r="N12" s="144">
        <f t="shared" si="1"/>
        <v>1</v>
      </c>
      <c r="O12" s="144">
        <f t="shared" si="2"/>
        <v>1.67</v>
      </c>
      <c r="P12" s="144">
        <f t="shared" si="2"/>
        <v>3.67</v>
      </c>
      <c r="Q12" s="144">
        <f t="shared" si="2"/>
        <v>0</v>
      </c>
      <c r="R12" s="144">
        <f t="shared" si="2"/>
        <v>6</v>
      </c>
      <c r="S12" s="144">
        <f t="shared" si="3"/>
        <v>11.34</v>
      </c>
      <c r="T12" s="672">
        <v>1.83</v>
      </c>
      <c r="U12" s="672">
        <v>2</v>
      </c>
      <c r="V12" s="672">
        <v>0</v>
      </c>
      <c r="W12" s="672">
        <v>7</v>
      </c>
      <c r="X12" s="144">
        <f t="shared" si="4"/>
        <v>10.83</v>
      </c>
      <c r="Y12" s="672">
        <v>1.83</v>
      </c>
      <c r="Z12" s="672">
        <v>2</v>
      </c>
      <c r="AA12" s="672">
        <v>0</v>
      </c>
      <c r="AB12" s="672">
        <v>7</v>
      </c>
      <c r="AC12" s="144">
        <f t="shared" si="5"/>
        <v>10.83</v>
      </c>
      <c r="AD12" s="144">
        <f t="shared" si="6"/>
        <v>616883.32000000007</v>
      </c>
      <c r="AE12" s="144">
        <f t="shared" si="7"/>
        <v>46785.599999999999</v>
      </c>
      <c r="AF12" s="144">
        <f t="shared" si="8"/>
        <v>64980</v>
      </c>
      <c r="AG12" s="144">
        <f t="shared" si="9"/>
        <v>25992</v>
      </c>
      <c r="AH12" s="144">
        <f t="shared" si="10"/>
        <v>95304</v>
      </c>
      <c r="AI12" s="144">
        <f t="shared" si="11"/>
        <v>8664</v>
      </c>
      <c r="AJ12" s="144">
        <f t="shared" si="12"/>
        <v>0</v>
      </c>
      <c r="AK12" s="144">
        <f t="shared" si="13"/>
        <v>10396.799999999999</v>
      </c>
      <c r="AL12" s="144">
        <f t="shared" si="14"/>
        <v>266370.12</v>
      </c>
      <c r="AM12" s="144">
        <v>34680</v>
      </c>
      <c r="AN12" s="144"/>
      <c r="AO12" s="144"/>
      <c r="AP12" s="144">
        <f t="shared" si="15"/>
        <v>1170055.8400000001</v>
      </c>
      <c r="AQ12" s="144">
        <v>1110625.58</v>
      </c>
      <c r="AR12" s="144">
        <f t="shared" si="16"/>
        <v>12140</v>
      </c>
      <c r="AS12" s="144">
        <f t="shared" si="17"/>
        <v>1122765.58</v>
      </c>
      <c r="AT12" s="675">
        <v>786177</v>
      </c>
      <c r="AU12" s="785">
        <v>262059</v>
      </c>
      <c r="AV12" s="610">
        <f t="shared" si="18"/>
        <v>74529.580000000075</v>
      </c>
      <c r="AW12" s="610"/>
      <c r="AX12" s="145">
        <f t="shared" si="19"/>
        <v>59430.260000000009</v>
      </c>
    </row>
    <row r="13" spans="1:51" ht="15" customHeight="1">
      <c r="A13" s="141" t="s">
        <v>538</v>
      </c>
      <c r="B13" s="240" t="s">
        <v>2130</v>
      </c>
      <c r="C13" s="240" t="s">
        <v>2101</v>
      </c>
      <c r="D13" s="672"/>
      <c r="E13" s="165">
        <v>0</v>
      </c>
      <c r="F13" s="165">
        <v>4</v>
      </c>
      <c r="G13" s="165">
        <v>0</v>
      </c>
      <c r="H13" s="165">
        <v>6</v>
      </c>
      <c r="I13" s="144">
        <f t="shared" si="0"/>
        <v>10</v>
      </c>
      <c r="J13" s="672">
        <v>4</v>
      </c>
      <c r="K13" s="672">
        <v>0</v>
      </c>
      <c r="L13" s="672">
        <v>0</v>
      </c>
      <c r="M13" s="672">
        <v>0</v>
      </c>
      <c r="N13" s="144">
        <f t="shared" si="1"/>
        <v>4</v>
      </c>
      <c r="O13" s="144">
        <f t="shared" si="2"/>
        <v>4</v>
      </c>
      <c r="P13" s="144">
        <f t="shared" si="2"/>
        <v>4</v>
      </c>
      <c r="Q13" s="144">
        <f t="shared" si="2"/>
        <v>0</v>
      </c>
      <c r="R13" s="144">
        <f t="shared" si="2"/>
        <v>6</v>
      </c>
      <c r="S13" s="144">
        <f t="shared" si="3"/>
        <v>14</v>
      </c>
      <c r="T13" s="672">
        <v>2.33</v>
      </c>
      <c r="U13" s="672">
        <v>1.83</v>
      </c>
      <c r="V13" s="672">
        <v>0</v>
      </c>
      <c r="W13" s="672">
        <v>9.17</v>
      </c>
      <c r="X13" s="144">
        <f t="shared" si="4"/>
        <v>13.33</v>
      </c>
      <c r="Y13" s="672">
        <v>2.33</v>
      </c>
      <c r="Z13" s="672">
        <v>1.83</v>
      </c>
      <c r="AA13" s="672">
        <v>0</v>
      </c>
      <c r="AB13" s="672">
        <v>9.17</v>
      </c>
      <c r="AC13" s="144">
        <f t="shared" si="5"/>
        <v>13.33</v>
      </c>
      <c r="AD13" s="144">
        <f t="shared" si="6"/>
        <v>753487.82000000007</v>
      </c>
      <c r="AE13" s="144">
        <f t="shared" si="7"/>
        <v>57585.599999999999</v>
      </c>
      <c r="AF13" s="144">
        <f t="shared" si="8"/>
        <v>79980</v>
      </c>
      <c r="AG13" s="144">
        <f t="shared" si="9"/>
        <v>31992</v>
      </c>
      <c r="AH13" s="144">
        <f t="shared" si="10"/>
        <v>117304</v>
      </c>
      <c r="AI13" s="144">
        <f t="shared" si="11"/>
        <v>10664</v>
      </c>
      <c r="AJ13" s="144">
        <f t="shared" si="12"/>
        <v>0</v>
      </c>
      <c r="AK13" s="144">
        <f t="shared" si="13"/>
        <v>12796.8</v>
      </c>
      <c r="AL13" s="144">
        <f t="shared" si="14"/>
        <v>330110.33</v>
      </c>
      <c r="AM13" s="144">
        <v>54868</v>
      </c>
      <c r="AN13" s="144"/>
      <c r="AO13" s="144"/>
      <c r="AP13" s="144">
        <f t="shared" si="15"/>
        <v>1448788.55</v>
      </c>
      <c r="AQ13" s="144">
        <v>1429099.88</v>
      </c>
      <c r="AR13" s="144">
        <f t="shared" si="16"/>
        <v>14042.5</v>
      </c>
      <c r="AS13" s="144">
        <f t="shared" si="17"/>
        <v>1443142.38</v>
      </c>
      <c r="AT13" s="675">
        <v>702041</v>
      </c>
      <c r="AU13" s="785">
        <v>234014</v>
      </c>
      <c r="AV13" s="610">
        <f t="shared" si="18"/>
        <v>507087.37999999989</v>
      </c>
      <c r="AW13" s="610"/>
      <c r="AX13" s="145">
        <f t="shared" si="19"/>
        <v>19688.670000000158</v>
      </c>
    </row>
    <row r="14" spans="1:51" ht="15" customHeight="1">
      <c r="A14" s="141" t="s">
        <v>538</v>
      </c>
      <c r="B14" s="240" t="s">
        <v>2131</v>
      </c>
      <c r="C14" s="240" t="s">
        <v>2101</v>
      </c>
      <c r="D14" s="672"/>
      <c r="E14" s="165">
        <v>4</v>
      </c>
      <c r="F14" s="165">
        <v>4.67</v>
      </c>
      <c r="G14" s="165">
        <v>0</v>
      </c>
      <c r="H14" s="165">
        <v>6</v>
      </c>
      <c r="I14" s="144">
        <f t="shared" si="0"/>
        <v>14.67</v>
      </c>
      <c r="J14" s="672">
        <v>1</v>
      </c>
      <c r="K14" s="672">
        <v>0</v>
      </c>
      <c r="L14" s="672">
        <v>0</v>
      </c>
      <c r="M14" s="672">
        <v>0</v>
      </c>
      <c r="N14" s="144">
        <f t="shared" si="1"/>
        <v>1</v>
      </c>
      <c r="O14" s="144">
        <f t="shared" si="2"/>
        <v>5</v>
      </c>
      <c r="P14" s="144">
        <f t="shared" si="2"/>
        <v>4.67</v>
      </c>
      <c r="Q14" s="144">
        <f t="shared" si="2"/>
        <v>0</v>
      </c>
      <c r="R14" s="144">
        <f t="shared" si="2"/>
        <v>6</v>
      </c>
      <c r="S14" s="144">
        <f t="shared" si="3"/>
        <v>15.67</v>
      </c>
      <c r="T14" s="672">
        <v>2.5</v>
      </c>
      <c r="U14" s="672">
        <v>6.67</v>
      </c>
      <c r="V14" s="672">
        <v>0</v>
      </c>
      <c r="W14" s="672">
        <v>6.5</v>
      </c>
      <c r="X14" s="144">
        <f t="shared" si="4"/>
        <v>15.67</v>
      </c>
      <c r="Y14" s="672">
        <v>2.5</v>
      </c>
      <c r="Z14" s="672">
        <v>6.67</v>
      </c>
      <c r="AA14" s="672">
        <v>0</v>
      </c>
      <c r="AB14" s="672">
        <v>6.5</v>
      </c>
      <c r="AC14" s="144">
        <f t="shared" si="5"/>
        <v>15.67</v>
      </c>
      <c r="AD14" s="144">
        <f t="shared" si="6"/>
        <v>933845</v>
      </c>
      <c r="AE14" s="144">
        <f t="shared" si="7"/>
        <v>67694.399999999994</v>
      </c>
      <c r="AF14" s="144">
        <f t="shared" si="8"/>
        <v>94020</v>
      </c>
      <c r="AG14" s="144">
        <f t="shared" si="9"/>
        <v>37608</v>
      </c>
      <c r="AH14" s="144">
        <f t="shared" si="10"/>
        <v>137896</v>
      </c>
      <c r="AI14" s="144">
        <f t="shared" si="11"/>
        <v>12536</v>
      </c>
      <c r="AJ14" s="144">
        <f t="shared" si="12"/>
        <v>0</v>
      </c>
      <c r="AK14" s="144">
        <f t="shared" si="13"/>
        <v>15043.2</v>
      </c>
      <c r="AL14" s="144">
        <f t="shared" si="14"/>
        <v>409770.62</v>
      </c>
      <c r="AM14" s="144">
        <v>77995</v>
      </c>
      <c r="AN14" s="144"/>
      <c r="AO14" s="144"/>
      <c r="AP14" s="144">
        <f t="shared" si="15"/>
        <v>1786408.2199999997</v>
      </c>
      <c r="AQ14" s="144">
        <v>1756271.31</v>
      </c>
      <c r="AR14" s="144">
        <f t="shared" si="16"/>
        <v>23782</v>
      </c>
      <c r="AS14" s="144">
        <f t="shared" si="17"/>
        <v>1780053.31</v>
      </c>
      <c r="AT14" s="675">
        <v>937822</v>
      </c>
      <c r="AU14" s="785">
        <v>312607</v>
      </c>
      <c r="AV14" s="610">
        <f t="shared" si="18"/>
        <v>529624.31000000006</v>
      </c>
      <c r="AW14" s="610"/>
      <c r="AX14" s="145">
        <f t="shared" si="19"/>
        <v>30136.909999999683</v>
      </c>
    </row>
    <row r="15" spans="1:51" ht="15" customHeight="1">
      <c r="A15" s="141" t="s">
        <v>538</v>
      </c>
      <c r="B15" s="240" t="s">
        <v>2132</v>
      </c>
      <c r="C15" s="240" t="s">
        <v>2099</v>
      </c>
      <c r="D15" s="672">
        <v>2</v>
      </c>
      <c r="E15" s="165">
        <v>0</v>
      </c>
      <c r="F15" s="165">
        <v>3</v>
      </c>
      <c r="G15" s="165">
        <v>23.33</v>
      </c>
      <c r="H15" s="165">
        <v>2.67</v>
      </c>
      <c r="I15" s="144">
        <f t="shared" si="0"/>
        <v>29</v>
      </c>
      <c r="J15" s="672">
        <v>7.83</v>
      </c>
      <c r="K15" s="672">
        <v>2</v>
      </c>
      <c r="L15" s="672">
        <v>0.33</v>
      </c>
      <c r="M15" s="672">
        <v>0</v>
      </c>
      <c r="N15" s="144">
        <f t="shared" si="1"/>
        <v>10.16</v>
      </c>
      <c r="O15" s="144">
        <f t="shared" si="2"/>
        <v>7.83</v>
      </c>
      <c r="P15" s="144">
        <f t="shared" si="2"/>
        <v>5</v>
      </c>
      <c r="Q15" s="144">
        <f t="shared" si="2"/>
        <v>23.659999999999997</v>
      </c>
      <c r="R15" s="144">
        <f t="shared" si="2"/>
        <v>2.67</v>
      </c>
      <c r="S15" s="144">
        <f t="shared" si="3"/>
        <v>39.159999999999997</v>
      </c>
      <c r="T15" s="672">
        <v>8.08</v>
      </c>
      <c r="U15" s="672">
        <v>4</v>
      </c>
      <c r="V15" s="672">
        <v>24.83</v>
      </c>
      <c r="W15" s="672">
        <v>2</v>
      </c>
      <c r="X15" s="144">
        <f t="shared" si="4"/>
        <v>38.909999999999997</v>
      </c>
      <c r="Y15" s="672">
        <v>8.08</v>
      </c>
      <c r="Z15" s="672">
        <v>4</v>
      </c>
      <c r="AA15" s="672">
        <v>24.83</v>
      </c>
      <c r="AB15" s="672">
        <v>2</v>
      </c>
      <c r="AC15" s="144">
        <f t="shared" si="5"/>
        <v>38.909999999999997</v>
      </c>
      <c r="AD15" s="144">
        <f t="shared" si="6"/>
        <v>2485512.56</v>
      </c>
      <c r="AE15" s="144">
        <f t="shared" si="7"/>
        <v>168091.19999999998</v>
      </c>
      <c r="AF15" s="144">
        <f t="shared" si="8"/>
        <v>233459.99999999997</v>
      </c>
      <c r="AG15" s="144">
        <f t="shared" si="9"/>
        <v>93383.999999999985</v>
      </c>
      <c r="AH15" s="144">
        <f t="shared" si="10"/>
        <v>342407.99999999994</v>
      </c>
      <c r="AI15" s="144">
        <f t="shared" si="11"/>
        <v>31127.999999999996</v>
      </c>
      <c r="AJ15" s="144">
        <f t="shared" si="12"/>
        <v>20000</v>
      </c>
      <c r="AK15" s="144">
        <f t="shared" si="13"/>
        <v>37353.599999999999</v>
      </c>
      <c r="AL15" s="144">
        <f t="shared" si="14"/>
        <v>1015037.36</v>
      </c>
      <c r="AM15" s="144"/>
      <c r="AN15" s="144"/>
      <c r="AO15" s="144"/>
      <c r="AP15" s="144">
        <f t="shared" si="15"/>
        <v>4426374.7200000007</v>
      </c>
      <c r="AQ15" s="144">
        <v>4414477</v>
      </c>
      <c r="AR15" s="144">
        <f t="shared" si="16"/>
        <v>55687</v>
      </c>
      <c r="AS15" s="144">
        <f t="shared" si="17"/>
        <v>4470164</v>
      </c>
      <c r="AT15" s="675">
        <v>2408324</v>
      </c>
      <c r="AU15" s="785">
        <v>802775</v>
      </c>
      <c r="AV15" s="610">
        <f t="shared" si="18"/>
        <v>1259065</v>
      </c>
      <c r="AW15" s="610"/>
      <c r="AX15" s="145">
        <f t="shared" si="19"/>
        <v>11897.720000000671</v>
      </c>
    </row>
    <row r="16" spans="1:51" ht="15" customHeight="1">
      <c r="A16" s="141" t="s">
        <v>538</v>
      </c>
      <c r="B16" s="240" t="s">
        <v>2430</v>
      </c>
      <c r="C16" s="240" t="s">
        <v>2101</v>
      </c>
      <c r="D16" s="672"/>
      <c r="E16" s="165">
        <v>4</v>
      </c>
      <c r="F16" s="165">
        <v>3.67</v>
      </c>
      <c r="G16" s="165">
        <v>0</v>
      </c>
      <c r="H16" s="165">
        <v>4</v>
      </c>
      <c r="I16" s="144">
        <f t="shared" si="0"/>
        <v>11.67</v>
      </c>
      <c r="J16" s="672">
        <v>6</v>
      </c>
      <c r="K16" s="672">
        <v>1</v>
      </c>
      <c r="L16" s="672">
        <v>0</v>
      </c>
      <c r="M16" s="672">
        <v>0</v>
      </c>
      <c r="N16" s="144">
        <f t="shared" si="1"/>
        <v>7</v>
      </c>
      <c r="O16" s="144">
        <f t="shared" si="2"/>
        <v>10</v>
      </c>
      <c r="P16" s="144">
        <f t="shared" si="2"/>
        <v>4.67</v>
      </c>
      <c r="Q16" s="144">
        <f t="shared" si="2"/>
        <v>0</v>
      </c>
      <c r="R16" s="144">
        <f t="shared" si="2"/>
        <v>4</v>
      </c>
      <c r="S16" s="144">
        <f t="shared" si="3"/>
        <v>18.670000000000002</v>
      </c>
      <c r="T16" s="672">
        <v>5.17</v>
      </c>
      <c r="U16" s="672">
        <v>7</v>
      </c>
      <c r="V16" s="672">
        <v>0</v>
      </c>
      <c r="W16" s="672">
        <v>6.33</v>
      </c>
      <c r="X16" s="144">
        <f t="shared" si="4"/>
        <v>18.5</v>
      </c>
      <c r="Y16" s="672">
        <v>5.17</v>
      </c>
      <c r="Z16" s="672">
        <v>7</v>
      </c>
      <c r="AA16" s="672">
        <v>0</v>
      </c>
      <c r="AB16" s="672">
        <v>6.33</v>
      </c>
      <c r="AC16" s="144">
        <f t="shared" si="5"/>
        <v>18.5</v>
      </c>
      <c r="AD16" s="144">
        <f t="shared" si="6"/>
        <v>1138707.18</v>
      </c>
      <c r="AE16" s="144">
        <f t="shared" si="7"/>
        <v>79920</v>
      </c>
      <c r="AF16" s="144">
        <f t="shared" si="8"/>
        <v>111000</v>
      </c>
      <c r="AG16" s="144">
        <f t="shared" si="9"/>
        <v>44400</v>
      </c>
      <c r="AH16" s="144">
        <f t="shared" si="10"/>
        <v>162800</v>
      </c>
      <c r="AI16" s="144">
        <f t="shared" si="11"/>
        <v>14800</v>
      </c>
      <c r="AJ16" s="144">
        <f t="shared" si="12"/>
        <v>0</v>
      </c>
      <c r="AK16" s="144">
        <f t="shared" si="13"/>
        <v>17760</v>
      </c>
      <c r="AL16" s="144">
        <f t="shared" si="14"/>
        <v>487586.84</v>
      </c>
      <c r="AM16" s="144">
        <v>66682.5</v>
      </c>
      <c r="AN16" s="144"/>
      <c r="AO16" s="144"/>
      <c r="AP16" s="144">
        <f t="shared" si="15"/>
        <v>2123656.52</v>
      </c>
      <c r="AQ16" s="144">
        <v>2084664.75</v>
      </c>
      <c r="AR16" s="144">
        <f t="shared" si="16"/>
        <v>32425.5</v>
      </c>
      <c r="AS16" s="144">
        <f t="shared" si="17"/>
        <v>2117090.25</v>
      </c>
      <c r="AT16" s="675">
        <v>1266818</v>
      </c>
      <c r="AU16" s="785">
        <v>422273</v>
      </c>
      <c r="AV16" s="610">
        <f t="shared" si="18"/>
        <v>427999.25</v>
      </c>
      <c r="AW16" s="610"/>
      <c r="AX16" s="145">
        <f t="shared" si="19"/>
        <v>38991.770000000019</v>
      </c>
    </row>
    <row r="17" spans="1:51" ht="15" customHeight="1">
      <c r="A17" s="141" t="s">
        <v>538</v>
      </c>
      <c r="B17" s="240" t="s">
        <v>2134</v>
      </c>
      <c r="C17" s="240" t="s">
        <v>2099</v>
      </c>
      <c r="D17" s="672">
        <v>1</v>
      </c>
      <c r="E17" s="165">
        <v>6.67</v>
      </c>
      <c r="F17" s="165">
        <v>2.33</v>
      </c>
      <c r="G17" s="165">
        <v>16.329999999999998</v>
      </c>
      <c r="H17" s="165">
        <v>2.67</v>
      </c>
      <c r="I17" s="144">
        <f t="shared" si="0"/>
        <v>28</v>
      </c>
      <c r="J17" s="672">
        <v>2</v>
      </c>
      <c r="K17" s="672">
        <v>0.33</v>
      </c>
      <c r="L17" s="672">
        <v>1</v>
      </c>
      <c r="M17" s="672">
        <v>0</v>
      </c>
      <c r="N17" s="144">
        <f t="shared" si="1"/>
        <v>3.33</v>
      </c>
      <c r="O17" s="144">
        <f t="shared" si="2"/>
        <v>8.67</v>
      </c>
      <c r="P17" s="144">
        <f t="shared" si="2"/>
        <v>2.66</v>
      </c>
      <c r="Q17" s="144">
        <f t="shared" si="2"/>
        <v>17.329999999999998</v>
      </c>
      <c r="R17" s="144">
        <f t="shared" si="2"/>
        <v>2.67</v>
      </c>
      <c r="S17" s="144">
        <f t="shared" si="3"/>
        <v>31.33</v>
      </c>
      <c r="T17" s="672">
        <v>8</v>
      </c>
      <c r="U17" s="672">
        <v>3</v>
      </c>
      <c r="V17" s="672">
        <v>17.55</v>
      </c>
      <c r="W17" s="672">
        <v>2</v>
      </c>
      <c r="X17" s="144">
        <f t="shared" si="4"/>
        <v>30.55</v>
      </c>
      <c r="Y17" s="672">
        <v>8</v>
      </c>
      <c r="Z17" s="672">
        <v>3</v>
      </c>
      <c r="AA17" s="672">
        <v>17.55</v>
      </c>
      <c r="AB17" s="672">
        <v>2</v>
      </c>
      <c r="AC17" s="144">
        <f t="shared" si="5"/>
        <v>30.55</v>
      </c>
      <c r="AD17" s="144">
        <f t="shared" si="6"/>
        <v>1962988.4000000001</v>
      </c>
      <c r="AE17" s="144">
        <f t="shared" si="7"/>
        <v>131976</v>
      </c>
      <c r="AF17" s="144">
        <f t="shared" si="8"/>
        <v>183300</v>
      </c>
      <c r="AG17" s="144">
        <f t="shared" si="9"/>
        <v>73320</v>
      </c>
      <c r="AH17" s="144">
        <f t="shared" si="10"/>
        <v>268840</v>
      </c>
      <c r="AI17" s="144">
        <f t="shared" si="11"/>
        <v>24440</v>
      </c>
      <c r="AJ17" s="144">
        <f t="shared" si="12"/>
        <v>10000</v>
      </c>
      <c r="AK17" s="144">
        <f t="shared" si="13"/>
        <v>29328</v>
      </c>
      <c r="AL17" s="144">
        <f t="shared" si="14"/>
        <v>798995.59</v>
      </c>
      <c r="AM17" s="144"/>
      <c r="AN17" s="144"/>
      <c r="AO17" s="144"/>
      <c r="AP17" s="144">
        <f t="shared" si="15"/>
        <v>3483187.99</v>
      </c>
      <c r="AQ17" s="144">
        <v>3436750.65</v>
      </c>
      <c r="AR17" s="144">
        <f t="shared" si="16"/>
        <v>46795</v>
      </c>
      <c r="AS17" s="144">
        <f t="shared" si="17"/>
        <v>3483545.65</v>
      </c>
      <c r="AT17" s="675">
        <v>1772951</v>
      </c>
      <c r="AU17" s="785">
        <v>590984</v>
      </c>
      <c r="AV17" s="610">
        <f t="shared" si="18"/>
        <v>1119610.6499999999</v>
      </c>
      <c r="AW17" s="610"/>
      <c r="AX17" s="145">
        <f t="shared" si="19"/>
        <v>46437.340000000317</v>
      </c>
    </row>
    <row r="18" spans="1:51" ht="15" customHeight="1">
      <c r="A18" s="141" t="s">
        <v>538</v>
      </c>
      <c r="B18" s="240" t="s">
        <v>2135</v>
      </c>
      <c r="C18" s="240" t="s">
        <v>2099</v>
      </c>
      <c r="D18" s="672">
        <v>1</v>
      </c>
      <c r="E18" s="165">
        <v>6.33</v>
      </c>
      <c r="F18" s="165">
        <v>2.33</v>
      </c>
      <c r="G18" s="165">
        <v>13.67</v>
      </c>
      <c r="H18" s="165">
        <v>2.67</v>
      </c>
      <c r="I18" s="144">
        <f t="shared" si="0"/>
        <v>25</v>
      </c>
      <c r="J18" s="672">
        <v>1</v>
      </c>
      <c r="K18" s="672">
        <v>0</v>
      </c>
      <c r="L18" s="672">
        <v>0.67</v>
      </c>
      <c r="M18" s="672">
        <v>0</v>
      </c>
      <c r="N18" s="144">
        <f t="shared" si="1"/>
        <v>1.67</v>
      </c>
      <c r="O18" s="144">
        <f t="shared" si="2"/>
        <v>7.33</v>
      </c>
      <c r="P18" s="144">
        <f t="shared" si="2"/>
        <v>2.33</v>
      </c>
      <c r="Q18" s="144">
        <f t="shared" si="2"/>
        <v>14.34</v>
      </c>
      <c r="R18" s="144">
        <f t="shared" si="2"/>
        <v>2.67</v>
      </c>
      <c r="S18" s="144">
        <f t="shared" si="3"/>
        <v>26.67</v>
      </c>
      <c r="T18" s="672">
        <v>4.75</v>
      </c>
      <c r="U18" s="672">
        <v>2.17</v>
      </c>
      <c r="V18" s="672">
        <v>12.33</v>
      </c>
      <c r="W18" s="672">
        <v>1</v>
      </c>
      <c r="X18" s="144">
        <f t="shared" si="4"/>
        <v>20.25</v>
      </c>
      <c r="Y18" s="672">
        <v>4.75</v>
      </c>
      <c r="Z18" s="672">
        <v>2.17</v>
      </c>
      <c r="AA18" s="672">
        <v>12.33</v>
      </c>
      <c r="AB18" s="672">
        <v>1</v>
      </c>
      <c r="AC18" s="144">
        <f t="shared" si="5"/>
        <v>20.25</v>
      </c>
      <c r="AD18" s="144">
        <f t="shared" si="6"/>
        <v>1299433.2399999998</v>
      </c>
      <c r="AE18" s="144">
        <f t="shared" si="7"/>
        <v>87480</v>
      </c>
      <c r="AF18" s="144">
        <f t="shared" si="8"/>
        <v>121500</v>
      </c>
      <c r="AG18" s="144">
        <f t="shared" si="9"/>
        <v>48600</v>
      </c>
      <c r="AH18" s="144">
        <f t="shared" si="10"/>
        <v>178200</v>
      </c>
      <c r="AI18" s="144">
        <f t="shared" si="11"/>
        <v>16200</v>
      </c>
      <c r="AJ18" s="144">
        <f t="shared" si="12"/>
        <v>10000</v>
      </c>
      <c r="AK18" s="144">
        <f t="shared" si="13"/>
        <v>19440</v>
      </c>
      <c r="AL18" s="144">
        <f t="shared" si="14"/>
        <v>530191.44999999995</v>
      </c>
      <c r="AM18" s="144"/>
      <c r="AN18" s="144"/>
      <c r="AO18" s="144"/>
      <c r="AP18" s="144">
        <f t="shared" si="15"/>
        <v>2311044.6899999995</v>
      </c>
      <c r="AQ18" s="144">
        <v>2331611.59</v>
      </c>
      <c r="AR18" s="144">
        <f t="shared" si="16"/>
        <v>30254</v>
      </c>
      <c r="AS18" s="144">
        <f t="shared" si="17"/>
        <v>2361865.59</v>
      </c>
      <c r="AT18" s="675">
        <v>1578812</v>
      </c>
      <c r="AU18" s="785">
        <v>526271</v>
      </c>
      <c r="AV18" s="610">
        <f t="shared" si="18"/>
        <v>256782.58999999985</v>
      </c>
      <c r="AW18" s="610"/>
      <c r="AX18" s="145">
        <f t="shared" si="19"/>
        <v>-20566.900000000373</v>
      </c>
      <c r="AY18" s="137" t="s">
        <v>2442</v>
      </c>
    </row>
    <row r="19" spans="1:51" ht="15" customHeight="1">
      <c r="A19" s="141" t="s">
        <v>538</v>
      </c>
      <c r="B19" s="240" t="s">
        <v>2136</v>
      </c>
      <c r="C19" s="240" t="s">
        <v>2101</v>
      </c>
      <c r="D19" s="672"/>
      <c r="E19" s="165">
        <v>1.33</v>
      </c>
      <c r="F19" s="165">
        <v>3.33</v>
      </c>
      <c r="G19" s="165">
        <v>0</v>
      </c>
      <c r="H19" s="165">
        <v>5.33</v>
      </c>
      <c r="I19" s="144">
        <f t="shared" si="0"/>
        <v>9.99</v>
      </c>
      <c r="J19" s="672">
        <v>1</v>
      </c>
      <c r="K19" s="672">
        <v>4</v>
      </c>
      <c r="L19" s="672">
        <v>0</v>
      </c>
      <c r="M19" s="672">
        <v>6</v>
      </c>
      <c r="N19" s="144">
        <f t="shared" si="1"/>
        <v>11</v>
      </c>
      <c r="O19" s="144">
        <f t="shared" si="2"/>
        <v>2.33</v>
      </c>
      <c r="P19" s="144">
        <f t="shared" si="2"/>
        <v>7.33</v>
      </c>
      <c r="Q19" s="144">
        <f t="shared" si="2"/>
        <v>0</v>
      </c>
      <c r="R19" s="144">
        <f t="shared" si="2"/>
        <v>11.33</v>
      </c>
      <c r="S19" s="144">
        <f t="shared" si="3"/>
        <v>20.990000000000002</v>
      </c>
      <c r="T19" s="672">
        <v>1.92</v>
      </c>
      <c r="U19" s="672">
        <v>7.75</v>
      </c>
      <c r="V19" s="672">
        <v>0</v>
      </c>
      <c r="W19" s="672">
        <v>10.42</v>
      </c>
      <c r="X19" s="144">
        <f t="shared" si="4"/>
        <v>20.09</v>
      </c>
      <c r="Y19" s="672">
        <v>1.92</v>
      </c>
      <c r="Z19" s="672">
        <v>7.75</v>
      </c>
      <c r="AA19" s="672">
        <v>0</v>
      </c>
      <c r="AB19" s="672">
        <v>10.42</v>
      </c>
      <c r="AC19" s="144">
        <f t="shared" si="5"/>
        <v>20.09</v>
      </c>
      <c r="AD19" s="144">
        <f t="shared" si="6"/>
        <v>1160906.68</v>
      </c>
      <c r="AE19" s="144">
        <f t="shared" si="7"/>
        <v>86788.800000000003</v>
      </c>
      <c r="AF19" s="144">
        <f t="shared" si="8"/>
        <v>120540</v>
      </c>
      <c r="AG19" s="144">
        <f t="shared" si="9"/>
        <v>48216</v>
      </c>
      <c r="AH19" s="144">
        <f t="shared" si="10"/>
        <v>176792</v>
      </c>
      <c r="AI19" s="144">
        <f t="shared" si="11"/>
        <v>16072</v>
      </c>
      <c r="AJ19" s="144">
        <f t="shared" si="12"/>
        <v>0</v>
      </c>
      <c r="AK19" s="144">
        <f t="shared" si="13"/>
        <v>19286.400000000001</v>
      </c>
      <c r="AL19" s="144">
        <f t="shared" si="14"/>
        <v>494913.39</v>
      </c>
      <c r="AM19" s="144">
        <v>50000</v>
      </c>
      <c r="AN19" s="144"/>
      <c r="AO19" s="144"/>
      <c r="AP19" s="144">
        <f t="shared" si="15"/>
        <v>2173515.27</v>
      </c>
      <c r="AQ19" s="144">
        <v>2100000</v>
      </c>
      <c r="AR19" s="144">
        <f t="shared" si="16"/>
        <v>25682</v>
      </c>
      <c r="AS19" s="144">
        <f t="shared" si="17"/>
        <v>2125682</v>
      </c>
      <c r="AT19" s="675">
        <v>1038937</v>
      </c>
      <c r="AU19" s="785">
        <v>346312</v>
      </c>
      <c r="AV19" s="610">
        <f t="shared" si="18"/>
        <v>740433</v>
      </c>
      <c r="AW19" s="610"/>
      <c r="AX19" s="145">
        <f t="shared" si="19"/>
        <v>73515.270000000019</v>
      </c>
    </row>
    <row r="20" spans="1:51" ht="15" customHeight="1">
      <c r="A20" s="141" t="s">
        <v>538</v>
      </c>
      <c r="B20" s="240" t="s">
        <v>2137</v>
      </c>
      <c r="C20" s="240" t="s">
        <v>2101</v>
      </c>
      <c r="D20" s="672"/>
      <c r="E20" s="165">
        <v>0</v>
      </c>
      <c r="F20" s="165">
        <v>4</v>
      </c>
      <c r="G20" s="165">
        <v>0</v>
      </c>
      <c r="H20" s="165">
        <v>5</v>
      </c>
      <c r="I20" s="144">
        <f t="shared" si="0"/>
        <v>9</v>
      </c>
      <c r="J20" s="672">
        <v>3</v>
      </c>
      <c r="K20" s="672">
        <v>0</v>
      </c>
      <c r="L20" s="672">
        <v>0</v>
      </c>
      <c r="M20" s="672">
        <v>0</v>
      </c>
      <c r="N20" s="144">
        <f t="shared" si="1"/>
        <v>3</v>
      </c>
      <c r="O20" s="144">
        <f t="shared" si="2"/>
        <v>3</v>
      </c>
      <c r="P20" s="144">
        <f t="shared" si="2"/>
        <v>4</v>
      </c>
      <c r="Q20" s="144">
        <f t="shared" si="2"/>
        <v>0</v>
      </c>
      <c r="R20" s="144">
        <f t="shared" si="2"/>
        <v>5</v>
      </c>
      <c r="S20" s="144">
        <f t="shared" si="3"/>
        <v>12</v>
      </c>
      <c r="T20" s="672">
        <v>2.42</v>
      </c>
      <c r="U20" s="672">
        <v>4</v>
      </c>
      <c r="V20" s="672">
        <v>0.17</v>
      </c>
      <c r="W20" s="672">
        <v>4.83</v>
      </c>
      <c r="X20" s="144">
        <f t="shared" si="4"/>
        <v>11.42</v>
      </c>
      <c r="Y20" s="672">
        <v>2.42</v>
      </c>
      <c r="Z20" s="672">
        <v>4</v>
      </c>
      <c r="AA20" s="672">
        <v>0.17</v>
      </c>
      <c r="AB20" s="672">
        <v>4.83</v>
      </c>
      <c r="AC20" s="144">
        <f t="shared" si="5"/>
        <v>11.42</v>
      </c>
      <c r="AD20" s="144">
        <f t="shared" ref="AD20:AD21" si="20">(Y20*6017+Z20*5250+AA20*5194+AB20*4250)*12+AB20*50*5</f>
        <v>684866.94000000006</v>
      </c>
      <c r="AE20" s="144">
        <f t="shared" ref="AE20:AE21" si="21">AC20*4320</f>
        <v>49334.400000000001</v>
      </c>
      <c r="AF20" s="144">
        <f t="shared" ref="AF20:AF21" si="22">AC20*6000</f>
        <v>68520</v>
      </c>
      <c r="AG20" s="144">
        <f t="shared" ref="AG20:AG21" si="23">AC20*2400</f>
        <v>27408</v>
      </c>
      <c r="AH20" s="144">
        <f t="shared" ref="AH20:AH21" si="24">AC20*8800</f>
        <v>100496</v>
      </c>
      <c r="AI20" s="144">
        <f t="shared" ref="AI20:AI21" si="25">AC20*800</f>
        <v>9136</v>
      </c>
      <c r="AJ20" s="144">
        <f t="shared" ref="AJ20:AJ21" si="26">D20*50*200</f>
        <v>0</v>
      </c>
      <c r="AK20" s="144">
        <f t="shared" ref="AK20:AK21" si="27">AC20*960</f>
        <v>10963.2</v>
      </c>
      <c r="AL20" s="144">
        <f t="shared" ref="AL20:AL21" si="28">ROUND((AD20+AH20+AI20+AJ20+AM20)*0.35256,2)</f>
        <v>301262.15000000002</v>
      </c>
      <c r="AM20" s="144">
        <v>60000</v>
      </c>
      <c r="AN20" s="144">
        <v>32088.25</v>
      </c>
      <c r="AP20" s="144">
        <f t="shared" ref="AP20:AP21" si="29">SUM(AD20:AO20)</f>
        <v>1344074.94</v>
      </c>
      <c r="AQ20" s="144">
        <v>1317731.99</v>
      </c>
      <c r="AR20" s="144">
        <f t="shared" ref="AR20:AR21" si="30">(Y20*450+Z20*300+AA20*100+AB20*50)*6+AC20*300-AB20*50*5</f>
        <v>17503.5</v>
      </c>
      <c r="AS20" s="144">
        <f t="shared" ref="AS20:AS21" si="31">AQ20+AR20</f>
        <v>1335235.49</v>
      </c>
      <c r="AT20" s="675">
        <v>316899</v>
      </c>
      <c r="AU20" s="785">
        <v>105633</v>
      </c>
      <c r="AV20" s="610">
        <f t="shared" ref="AV20:AV21" si="32">AS20-AT20-AU20</f>
        <v>912703.49</v>
      </c>
      <c r="AW20" s="610"/>
      <c r="AX20" s="145">
        <f t="shared" si="19"/>
        <v>26342.949999999953</v>
      </c>
    </row>
    <row r="21" spans="1:51" ht="15" customHeight="1">
      <c r="A21" s="141" t="s">
        <v>538</v>
      </c>
      <c r="B21" s="240" t="s">
        <v>2138</v>
      </c>
      <c r="C21" s="240" t="s">
        <v>2099</v>
      </c>
      <c r="D21" s="672">
        <v>2</v>
      </c>
      <c r="E21" s="165">
        <v>9</v>
      </c>
      <c r="F21" s="165">
        <v>2.33</v>
      </c>
      <c r="G21" s="165">
        <v>18.329999999999998</v>
      </c>
      <c r="H21" s="165">
        <v>2</v>
      </c>
      <c r="I21" s="144">
        <f t="shared" si="0"/>
        <v>31.659999999999997</v>
      </c>
      <c r="J21" s="672">
        <v>4</v>
      </c>
      <c r="K21" s="672">
        <v>0.67</v>
      </c>
      <c r="L21" s="672">
        <v>1.33</v>
      </c>
      <c r="M21" s="672">
        <v>0.33</v>
      </c>
      <c r="N21" s="144">
        <f t="shared" si="1"/>
        <v>6.33</v>
      </c>
      <c r="O21" s="144">
        <f t="shared" si="2"/>
        <v>13</v>
      </c>
      <c r="P21" s="144">
        <f>F21+K21</f>
        <v>3</v>
      </c>
      <c r="Q21" s="144">
        <f>G21+L21</f>
        <v>19.659999999999997</v>
      </c>
      <c r="R21" s="144">
        <f>H21+M21</f>
        <v>2.33</v>
      </c>
      <c r="S21" s="144">
        <f t="shared" si="3"/>
        <v>37.989999999999995</v>
      </c>
      <c r="T21" s="672">
        <v>10.67</v>
      </c>
      <c r="U21" s="672">
        <v>4.58</v>
      </c>
      <c r="V21" s="672">
        <v>20</v>
      </c>
      <c r="W21" s="672">
        <v>2</v>
      </c>
      <c r="X21" s="144">
        <f t="shared" si="4"/>
        <v>37.25</v>
      </c>
      <c r="Y21" s="672">
        <v>10.67</v>
      </c>
      <c r="Z21" s="672">
        <v>4.58</v>
      </c>
      <c r="AA21" s="672">
        <v>20</v>
      </c>
      <c r="AB21" s="672">
        <v>2</v>
      </c>
      <c r="AC21" s="144">
        <f t="shared" si="5"/>
        <v>37.25</v>
      </c>
      <c r="AD21" s="144">
        <f t="shared" si="20"/>
        <v>2408016.6800000002</v>
      </c>
      <c r="AE21" s="144">
        <f t="shared" si="21"/>
        <v>160920</v>
      </c>
      <c r="AF21" s="144">
        <f t="shared" si="22"/>
        <v>223500</v>
      </c>
      <c r="AG21" s="144">
        <f t="shared" si="23"/>
        <v>89400</v>
      </c>
      <c r="AH21" s="144">
        <f t="shared" si="24"/>
        <v>327800</v>
      </c>
      <c r="AI21" s="144">
        <f t="shared" si="25"/>
        <v>29800</v>
      </c>
      <c r="AJ21" s="144">
        <f t="shared" si="26"/>
        <v>20000</v>
      </c>
      <c r="AK21" s="144">
        <f t="shared" si="27"/>
        <v>35760</v>
      </c>
      <c r="AL21" s="144">
        <f t="shared" si="28"/>
        <v>982097.02</v>
      </c>
      <c r="AM21" s="144"/>
      <c r="AN21" s="144"/>
      <c r="AO21" s="144"/>
      <c r="AP21" s="144">
        <f t="shared" si="29"/>
        <v>4277293.7</v>
      </c>
      <c r="AQ21" s="144">
        <v>4199298.6426436799</v>
      </c>
      <c r="AR21" s="144">
        <f t="shared" si="30"/>
        <v>60328</v>
      </c>
      <c r="AS21" s="144">
        <f t="shared" si="31"/>
        <v>4259626.6426436799</v>
      </c>
      <c r="AT21" s="675">
        <v>2197422</v>
      </c>
      <c r="AU21" s="785">
        <v>732474</v>
      </c>
      <c r="AV21" s="610">
        <f t="shared" si="32"/>
        <v>1329730.6426436799</v>
      </c>
      <c r="AW21" s="610"/>
      <c r="AX21" s="145">
        <f t="shared" si="19"/>
        <v>77995.057356320322</v>
      </c>
    </row>
    <row r="22" spans="1:51" s="784" customFormat="1" ht="15" customHeight="1">
      <c r="A22" s="783"/>
      <c r="B22" s="783" t="s">
        <v>2139</v>
      </c>
      <c r="C22" s="783"/>
      <c r="D22" s="146">
        <f>SUM(D4:D21)</f>
        <v>14</v>
      </c>
      <c r="E22" s="146">
        <f t="shared" ref="E22:AW22" si="33">SUM(E4:E21)</f>
        <v>77.34</v>
      </c>
      <c r="F22" s="146">
        <f t="shared" si="33"/>
        <v>63.989999999999995</v>
      </c>
      <c r="G22" s="146">
        <f t="shared" si="33"/>
        <v>209.65999999999997</v>
      </c>
      <c r="H22" s="146">
        <f t="shared" si="33"/>
        <v>78.680000000000007</v>
      </c>
      <c r="I22" s="146">
        <f t="shared" si="33"/>
        <v>429.67000000000007</v>
      </c>
      <c r="J22" s="146">
        <f t="shared" si="33"/>
        <v>58.83</v>
      </c>
      <c r="K22" s="146">
        <f t="shared" si="33"/>
        <v>10</v>
      </c>
      <c r="L22" s="146">
        <f t="shared" si="33"/>
        <v>4.33</v>
      </c>
      <c r="M22" s="146">
        <f t="shared" si="33"/>
        <v>8.33</v>
      </c>
      <c r="N22" s="146">
        <f t="shared" si="33"/>
        <v>81.489999999999995</v>
      </c>
      <c r="O22" s="146">
        <f t="shared" si="33"/>
        <v>136.17000000000002</v>
      </c>
      <c r="P22" s="146">
        <f t="shared" si="33"/>
        <v>73.989999999999995</v>
      </c>
      <c r="Q22" s="146">
        <f t="shared" si="33"/>
        <v>213.99</v>
      </c>
      <c r="R22" s="146">
        <f t="shared" si="33"/>
        <v>87.01</v>
      </c>
      <c r="S22" s="146">
        <f t="shared" si="33"/>
        <v>511.16</v>
      </c>
      <c r="T22" s="146">
        <f t="shared" si="33"/>
        <v>108.76</v>
      </c>
      <c r="U22" s="146">
        <f t="shared" si="33"/>
        <v>78.010000000000005</v>
      </c>
      <c r="V22" s="146">
        <f t="shared" si="33"/>
        <v>209.95999999999998</v>
      </c>
      <c r="W22" s="146">
        <f t="shared" si="33"/>
        <v>100.09</v>
      </c>
      <c r="X22" s="146">
        <f t="shared" si="33"/>
        <v>496.81999999999988</v>
      </c>
      <c r="Y22" s="146">
        <f t="shared" si="33"/>
        <v>108.76</v>
      </c>
      <c r="Z22" s="146">
        <f t="shared" si="33"/>
        <v>78.010000000000005</v>
      </c>
      <c r="AA22" s="146">
        <f t="shared" si="33"/>
        <v>209.95999999999998</v>
      </c>
      <c r="AB22" s="146">
        <f t="shared" si="33"/>
        <v>100.09</v>
      </c>
      <c r="AC22" s="146">
        <f t="shared" si="33"/>
        <v>496.81999999999988</v>
      </c>
      <c r="AD22" s="146">
        <f t="shared" si="33"/>
        <v>30983536.419999994</v>
      </c>
      <c r="AE22" s="146">
        <f t="shared" si="33"/>
        <v>2146262.4000000004</v>
      </c>
      <c r="AF22" s="146">
        <f t="shared" si="33"/>
        <v>2980920</v>
      </c>
      <c r="AG22" s="146">
        <f t="shared" si="33"/>
        <v>1192368</v>
      </c>
      <c r="AH22" s="146">
        <f t="shared" si="33"/>
        <v>4372016</v>
      </c>
      <c r="AI22" s="146">
        <f t="shared" si="33"/>
        <v>397456</v>
      </c>
      <c r="AJ22" s="146">
        <f t="shared" si="33"/>
        <v>140000</v>
      </c>
      <c r="AK22" s="146">
        <f t="shared" si="33"/>
        <v>476947.20000000001</v>
      </c>
      <c r="AL22" s="146">
        <f t="shared" si="33"/>
        <v>12885339.82</v>
      </c>
      <c r="AM22" s="146">
        <f t="shared" si="33"/>
        <v>654926.16999999993</v>
      </c>
      <c r="AN22" s="146">
        <f t="shared" si="33"/>
        <v>32088.25</v>
      </c>
      <c r="AO22" s="146">
        <f t="shared" si="33"/>
        <v>0</v>
      </c>
      <c r="AP22" s="146">
        <f t="shared" si="33"/>
        <v>56261860.260000005</v>
      </c>
      <c r="AQ22" s="146">
        <f t="shared" si="33"/>
        <v>54604111.782643691</v>
      </c>
      <c r="AR22" s="146">
        <f t="shared" si="33"/>
        <v>714096.5</v>
      </c>
      <c r="AS22" s="146">
        <f t="shared" si="33"/>
        <v>55318208.282643691</v>
      </c>
      <c r="AT22" s="146">
        <f t="shared" si="33"/>
        <v>31539581</v>
      </c>
      <c r="AU22" s="786">
        <f t="shared" si="33"/>
        <v>10513196</v>
      </c>
      <c r="AV22" s="146">
        <f t="shared" si="33"/>
        <v>13265431.28264368</v>
      </c>
      <c r="AW22" s="146">
        <f t="shared" si="33"/>
        <v>0</v>
      </c>
    </row>
  </sheetData>
  <autoFilter ref="B2:AV22"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1" showButton="0"/>
    <filterColumn colId="23" showButton="0"/>
    <filterColumn colId="24" showButton="0"/>
    <filterColumn colId="25" showButton="0"/>
    <filterColumn colId="26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</autoFilter>
  <mergeCells count="18">
    <mergeCell ref="AV2:AV3"/>
    <mergeCell ref="AW2:AW3"/>
    <mergeCell ref="A1:AW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R2:AR3"/>
    <mergeCell ref="AD2:AP2"/>
    <mergeCell ref="AQ2:AQ3"/>
    <mergeCell ref="AU2:AU3"/>
    <mergeCell ref="AT2:AT3"/>
    <mergeCell ref="AS2:AS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verticalDpi="0" r:id="rId1"/>
  <headerFooter>
    <oddFooter>第 &amp;P 页，共 &amp;N 页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>
  <dimension ref="A1:F10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11" sqref="A11:XFD36"/>
    </sheetView>
  </sheetViews>
  <sheetFormatPr defaultRowHeight="13.5" outlineLevelRow="2"/>
  <cols>
    <col min="1" max="1" width="9" style="155"/>
    <col min="2" max="2" width="36.25" style="155" customWidth="1"/>
    <col min="3" max="3" width="15.375" style="155" customWidth="1"/>
    <col min="4" max="5" width="9" style="155"/>
    <col min="6" max="6" width="13.375" style="155" customWidth="1"/>
    <col min="7" max="16384" width="9" style="155"/>
  </cols>
  <sheetData>
    <row r="1" spans="1:6" ht="23.25" customHeight="1">
      <c r="A1" s="1040" t="s">
        <v>2408</v>
      </c>
      <c r="B1" s="1041"/>
      <c r="C1" s="1041"/>
      <c r="D1" s="1041"/>
      <c r="E1" s="1152"/>
      <c r="F1" s="1152"/>
    </row>
    <row r="2" spans="1:6" ht="15" customHeight="1">
      <c r="A2" s="730" t="s">
        <v>2424</v>
      </c>
      <c r="B2" s="730" t="s">
        <v>2425</v>
      </c>
      <c r="C2" s="152" t="s">
        <v>2426</v>
      </c>
      <c r="D2" s="152" t="s">
        <v>2427</v>
      </c>
      <c r="E2" s="152" t="s">
        <v>2428</v>
      </c>
      <c r="F2" s="194" t="s">
        <v>2443</v>
      </c>
    </row>
    <row r="3" spans="1:6" ht="15" customHeight="1" outlineLevel="2">
      <c r="A3" s="730" t="s">
        <v>2429</v>
      </c>
      <c r="B3" s="730" t="s">
        <v>1542</v>
      </c>
      <c r="C3" s="152">
        <v>348258</v>
      </c>
      <c r="D3" s="152">
        <v>233634</v>
      </c>
      <c r="E3" s="152">
        <f t="shared" ref="E3:E9" si="0">C3-D3</f>
        <v>114624</v>
      </c>
      <c r="F3" s="789"/>
    </row>
    <row r="4" spans="1:6" ht="15" customHeight="1" outlineLevel="2">
      <c r="A4" s="730" t="s">
        <v>2429</v>
      </c>
      <c r="B4" s="730" t="s">
        <v>1323</v>
      </c>
      <c r="C4" s="152">
        <v>598020</v>
      </c>
      <c r="D4" s="152">
        <v>124144</v>
      </c>
      <c r="E4" s="152">
        <f t="shared" si="0"/>
        <v>473876</v>
      </c>
      <c r="F4" s="789"/>
    </row>
    <row r="5" spans="1:6" ht="15" customHeight="1" outlineLevel="2">
      <c r="A5" s="730" t="s">
        <v>2429</v>
      </c>
      <c r="B5" s="730" t="s">
        <v>2414</v>
      </c>
      <c r="C5" s="152">
        <v>217334</v>
      </c>
      <c r="D5" s="152">
        <v>101028</v>
      </c>
      <c r="E5" s="152">
        <f t="shared" si="0"/>
        <v>116306</v>
      </c>
      <c r="F5" s="789"/>
    </row>
    <row r="6" spans="1:6" ht="15" customHeight="1" outlineLevel="2">
      <c r="A6" s="730" t="s">
        <v>2429</v>
      </c>
      <c r="B6" s="730" t="s">
        <v>491</v>
      </c>
      <c r="C6" s="152">
        <v>412574</v>
      </c>
      <c r="D6" s="152">
        <v>396950</v>
      </c>
      <c r="E6" s="152">
        <f t="shared" si="0"/>
        <v>15624</v>
      </c>
      <c r="F6" s="789"/>
    </row>
    <row r="7" spans="1:6" ht="15" customHeight="1" outlineLevel="2">
      <c r="A7" s="730" t="s">
        <v>2429</v>
      </c>
      <c r="B7" s="730" t="s">
        <v>2399</v>
      </c>
      <c r="C7" s="152">
        <v>204966</v>
      </c>
      <c r="D7" s="152">
        <v>204966</v>
      </c>
      <c r="E7" s="152">
        <f t="shared" si="0"/>
        <v>0</v>
      </c>
      <c r="F7" s="789"/>
    </row>
    <row r="8" spans="1:6" ht="15" customHeight="1" outlineLevel="2">
      <c r="A8" s="730" t="s">
        <v>2429</v>
      </c>
      <c r="B8" s="730" t="s">
        <v>493</v>
      </c>
      <c r="C8" s="152">
        <v>97046</v>
      </c>
      <c r="D8" s="152">
        <v>97046</v>
      </c>
      <c r="E8" s="152">
        <f t="shared" si="0"/>
        <v>0</v>
      </c>
      <c r="F8" s="789"/>
    </row>
    <row r="9" spans="1:6" ht="15" customHeight="1" outlineLevel="2">
      <c r="A9" s="730" t="s">
        <v>2429</v>
      </c>
      <c r="B9" s="730" t="s">
        <v>2419</v>
      </c>
      <c r="C9" s="152">
        <v>116920</v>
      </c>
      <c r="D9" s="152"/>
      <c r="E9" s="152">
        <f t="shared" si="0"/>
        <v>116920</v>
      </c>
      <c r="F9" s="789"/>
    </row>
    <row r="10" spans="1:6" ht="15" customHeight="1" outlineLevel="1">
      <c r="A10" s="792" t="s">
        <v>563</v>
      </c>
      <c r="B10" s="790"/>
      <c r="C10" s="791">
        <f>SUBTOTAL(9,C3:C9)</f>
        <v>1995118</v>
      </c>
      <c r="D10" s="791">
        <f t="shared" ref="D10:F10" si="1">SUBTOTAL(9,D3:D9)</f>
        <v>1157768</v>
      </c>
      <c r="E10" s="791">
        <f t="shared" si="1"/>
        <v>837350</v>
      </c>
      <c r="F10" s="791">
        <f t="shared" si="1"/>
        <v>0</v>
      </c>
    </row>
  </sheetData>
  <mergeCells count="1">
    <mergeCell ref="A1:F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  <headerFooter>
    <oddFooter>第 &amp;P 页，共 &amp;N 页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>
  <dimension ref="A1:I35"/>
  <sheetViews>
    <sheetView workbookViewId="0">
      <selection activeCell="A36" sqref="A36:XFD77"/>
    </sheetView>
  </sheetViews>
  <sheetFormatPr defaultRowHeight="13.5" outlineLevelRow="2"/>
  <cols>
    <col min="1" max="1" width="5.75" style="155" customWidth="1"/>
    <col min="2" max="2" width="8.125" style="155" customWidth="1"/>
    <col min="3" max="3" width="31.375" style="155" customWidth="1"/>
    <col min="4" max="4" width="13.75" style="155" customWidth="1"/>
    <col min="5" max="6" width="14" style="155" bestFit="1" customWidth="1"/>
    <col min="7" max="7" width="12.875" style="155" customWidth="1"/>
    <col min="8" max="8" width="14" style="155" customWidth="1"/>
    <col min="9" max="9" width="13.625" style="155" customWidth="1"/>
    <col min="10" max="16384" width="9" style="155"/>
  </cols>
  <sheetData>
    <row r="1" spans="1:9" ht="35.25" customHeight="1">
      <c r="A1" s="1153" t="s">
        <v>2347</v>
      </c>
      <c r="B1" s="1154"/>
      <c r="C1" s="1154"/>
      <c r="D1" s="1154"/>
      <c r="E1" s="1154"/>
      <c r="F1" s="1154"/>
      <c r="G1" s="1154"/>
      <c r="H1" s="1155"/>
      <c r="I1" s="1155"/>
    </row>
    <row r="2" spans="1:9" ht="34.15" customHeight="1">
      <c r="A2" s="776" t="s">
        <v>1</v>
      </c>
      <c r="B2" s="776" t="s">
        <v>2285</v>
      </c>
      <c r="C2" s="776" t="s">
        <v>2308</v>
      </c>
      <c r="D2" s="776" t="s">
        <v>2309</v>
      </c>
      <c r="E2" s="776" t="s">
        <v>2310</v>
      </c>
      <c r="F2" s="776" t="s">
        <v>2311</v>
      </c>
      <c r="G2" s="777" t="s">
        <v>2312</v>
      </c>
      <c r="H2" s="788" t="s">
        <v>2496</v>
      </c>
      <c r="I2" s="788" t="s">
        <v>2497</v>
      </c>
    </row>
    <row r="3" spans="1:9" outlineLevel="2">
      <c r="A3" s="776">
        <v>50</v>
      </c>
      <c r="B3" s="776" t="s">
        <v>2314</v>
      </c>
      <c r="C3" s="776" t="s">
        <v>430</v>
      </c>
      <c r="D3" s="776" t="s">
        <v>2315</v>
      </c>
      <c r="E3" s="776" t="s">
        <v>2313</v>
      </c>
      <c r="F3" s="776" t="s">
        <v>382</v>
      </c>
      <c r="G3" s="776">
        <f>VLOOKUP(F3,[3]Sheet2!A:B,2,FALSE)</f>
        <v>92157</v>
      </c>
      <c r="H3" s="789">
        <v>92157</v>
      </c>
      <c r="I3" s="789"/>
    </row>
    <row r="4" spans="1:9" outlineLevel="2">
      <c r="A4" s="776">
        <v>51</v>
      </c>
      <c r="B4" s="776" t="s">
        <v>2316</v>
      </c>
      <c r="C4" s="776" t="s">
        <v>430</v>
      </c>
      <c r="D4" s="776" t="s">
        <v>2315</v>
      </c>
      <c r="E4" s="776" t="s">
        <v>2313</v>
      </c>
      <c r="F4" s="776" t="s">
        <v>382</v>
      </c>
      <c r="G4" s="776">
        <f>VLOOKUP(F4,[3]Sheet2!A:B,2,FALSE)</f>
        <v>92157</v>
      </c>
      <c r="H4" s="789">
        <v>92157</v>
      </c>
      <c r="I4" s="789"/>
    </row>
    <row r="5" spans="1:9" outlineLevel="2">
      <c r="A5" s="776">
        <v>52</v>
      </c>
      <c r="B5" s="776" t="s">
        <v>2317</v>
      </c>
      <c r="C5" s="776" t="s">
        <v>432</v>
      </c>
      <c r="D5" s="776" t="s">
        <v>2315</v>
      </c>
      <c r="E5" s="776" t="s">
        <v>2313</v>
      </c>
      <c r="F5" s="776" t="s">
        <v>382</v>
      </c>
      <c r="G5" s="776">
        <f>VLOOKUP(F5,[3]Sheet2!A:B,2,FALSE)</f>
        <v>92157</v>
      </c>
      <c r="H5" s="789">
        <v>92157</v>
      </c>
      <c r="I5" s="789"/>
    </row>
    <row r="6" spans="1:9" outlineLevel="2">
      <c r="A6" s="776">
        <v>53</v>
      </c>
      <c r="B6" s="776" t="s">
        <v>2318</v>
      </c>
      <c r="C6" s="776" t="s">
        <v>429</v>
      </c>
      <c r="D6" s="776" t="s">
        <v>2315</v>
      </c>
      <c r="E6" s="776" t="s">
        <v>2313</v>
      </c>
      <c r="F6" s="776" t="s">
        <v>382</v>
      </c>
      <c r="G6" s="776">
        <f>VLOOKUP(F6,[3]Sheet2!A:B,2,FALSE)</f>
        <v>92157</v>
      </c>
      <c r="H6" s="789">
        <v>92157</v>
      </c>
      <c r="I6" s="789"/>
    </row>
    <row r="7" spans="1:9" outlineLevel="2">
      <c r="A7" s="776">
        <v>54</v>
      </c>
      <c r="B7" s="776" t="s">
        <v>2319</v>
      </c>
      <c r="C7" s="776" t="s">
        <v>429</v>
      </c>
      <c r="D7" s="776" t="s">
        <v>2315</v>
      </c>
      <c r="E7" s="776" t="s">
        <v>2313</v>
      </c>
      <c r="F7" s="776" t="s">
        <v>382</v>
      </c>
      <c r="G7" s="776">
        <f>VLOOKUP(F7,[3]Sheet2!A:B,2,FALSE)</f>
        <v>92157</v>
      </c>
      <c r="H7" s="789">
        <v>92157</v>
      </c>
      <c r="I7" s="789"/>
    </row>
    <row r="8" spans="1:9" outlineLevel="2">
      <c r="A8" s="776">
        <v>55</v>
      </c>
      <c r="B8" s="776" t="s">
        <v>2320</v>
      </c>
      <c r="C8" s="776" t="s">
        <v>429</v>
      </c>
      <c r="D8" s="776" t="s">
        <v>2315</v>
      </c>
      <c r="E8" s="776" t="s">
        <v>2313</v>
      </c>
      <c r="F8" s="776" t="s">
        <v>382</v>
      </c>
      <c r="G8" s="776">
        <f>VLOOKUP(F8,[3]Sheet2!A:B,2,FALSE)</f>
        <v>92157</v>
      </c>
      <c r="H8" s="789">
        <v>92157</v>
      </c>
      <c r="I8" s="789"/>
    </row>
    <row r="9" spans="1:9" outlineLevel="2">
      <c r="A9" s="776">
        <v>56</v>
      </c>
      <c r="B9" s="776" t="s">
        <v>2321</v>
      </c>
      <c r="C9" s="776" t="s">
        <v>431</v>
      </c>
      <c r="D9" s="776" t="s">
        <v>2315</v>
      </c>
      <c r="E9" s="776" t="s">
        <v>2313</v>
      </c>
      <c r="F9" s="776" t="s">
        <v>382</v>
      </c>
      <c r="G9" s="776">
        <f>VLOOKUP(F9,[3]Sheet2!A:B,2,FALSE)</f>
        <v>92157</v>
      </c>
      <c r="H9" s="789">
        <v>92157</v>
      </c>
      <c r="I9" s="789"/>
    </row>
    <row r="10" spans="1:9" outlineLevel="2">
      <c r="A10" s="776">
        <v>57</v>
      </c>
      <c r="B10" s="776" t="s">
        <v>2322</v>
      </c>
      <c r="C10" s="776" t="s">
        <v>431</v>
      </c>
      <c r="D10" s="776" t="s">
        <v>2315</v>
      </c>
      <c r="E10" s="776" t="s">
        <v>2313</v>
      </c>
      <c r="F10" s="776" t="s">
        <v>382</v>
      </c>
      <c r="G10" s="776">
        <f>VLOOKUP(F10,[3]Sheet2!A:B,2,FALSE)</f>
        <v>92157</v>
      </c>
      <c r="H10" s="789">
        <v>92157</v>
      </c>
      <c r="I10" s="789"/>
    </row>
    <row r="11" spans="1:9" outlineLevel="2">
      <c r="A11" s="776">
        <v>58</v>
      </c>
      <c r="B11" s="776" t="s">
        <v>2323</v>
      </c>
      <c r="C11" s="776" t="s">
        <v>434</v>
      </c>
      <c r="D11" s="776" t="s">
        <v>2315</v>
      </c>
      <c r="E11" s="776" t="s">
        <v>2313</v>
      </c>
      <c r="F11" s="776" t="s">
        <v>382</v>
      </c>
      <c r="G11" s="776">
        <f>VLOOKUP(F11,[3]Sheet2!A:B,2,FALSE)</f>
        <v>92157</v>
      </c>
      <c r="H11" s="789">
        <v>92157</v>
      </c>
      <c r="I11" s="789"/>
    </row>
    <row r="12" spans="1:9" outlineLevel="2">
      <c r="A12" s="776">
        <v>59</v>
      </c>
      <c r="B12" s="776" t="s">
        <v>2324</v>
      </c>
      <c r="C12" s="776" t="s">
        <v>2247</v>
      </c>
      <c r="D12" s="776" t="s">
        <v>2315</v>
      </c>
      <c r="E12" s="776" t="s">
        <v>2313</v>
      </c>
      <c r="F12" s="776" t="s">
        <v>379</v>
      </c>
      <c r="G12" s="776">
        <f>VLOOKUP(F12,[3]Sheet2!A:B,2,FALSE)</f>
        <v>101253</v>
      </c>
      <c r="H12" s="789">
        <v>101253</v>
      </c>
      <c r="I12" s="789"/>
    </row>
    <row r="13" spans="1:9" outlineLevel="2">
      <c r="A13" s="776">
        <v>60</v>
      </c>
      <c r="B13" s="776" t="s">
        <v>2325</v>
      </c>
      <c r="C13" s="776" t="s">
        <v>2247</v>
      </c>
      <c r="D13" s="776" t="s">
        <v>2315</v>
      </c>
      <c r="E13" s="776" t="s">
        <v>2313</v>
      </c>
      <c r="F13" s="776" t="s">
        <v>379</v>
      </c>
      <c r="G13" s="776">
        <f>VLOOKUP(F13,[3]Sheet2!A:B,2,FALSE)</f>
        <v>101253</v>
      </c>
      <c r="H13" s="789">
        <v>101253</v>
      </c>
      <c r="I13" s="789"/>
    </row>
    <row r="14" spans="1:9" outlineLevel="2">
      <c r="A14" s="776">
        <v>61</v>
      </c>
      <c r="B14" s="776" t="s">
        <v>2326</v>
      </c>
      <c r="C14" s="776" t="s">
        <v>2247</v>
      </c>
      <c r="D14" s="776" t="s">
        <v>2315</v>
      </c>
      <c r="E14" s="776" t="s">
        <v>2313</v>
      </c>
      <c r="F14" s="776" t="s">
        <v>379</v>
      </c>
      <c r="G14" s="776">
        <f>VLOOKUP(F14,[3]Sheet2!A:B,2,FALSE)</f>
        <v>101253</v>
      </c>
      <c r="H14" s="789">
        <v>101253</v>
      </c>
      <c r="I14" s="789"/>
    </row>
    <row r="15" spans="1:9" outlineLevel="2">
      <c r="A15" s="776">
        <v>62</v>
      </c>
      <c r="B15" s="776" t="s">
        <v>2327</v>
      </c>
      <c r="C15" s="776" t="s">
        <v>2247</v>
      </c>
      <c r="D15" s="776" t="s">
        <v>2315</v>
      </c>
      <c r="E15" s="776" t="s">
        <v>2313</v>
      </c>
      <c r="F15" s="776" t="s">
        <v>379</v>
      </c>
      <c r="G15" s="776">
        <f>VLOOKUP(F15,[3]Sheet2!A:B,2,FALSE)</f>
        <v>101253</v>
      </c>
      <c r="H15" s="789">
        <v>101253</v>
      </c>
      <c r="I15" s="789"/>
    </row>
    <row r="16" spans="1:9" outlineLevel="2">
      <c r="A16" s="776">
        <v>63</v>
      </c>
      <c r="B16" s="776" t="s">
        <v>2328</v>
      </c>
      <c r="C16" s="776" t="s">
        <v>2247</v>
      </c>
      <c r="D16" s="776" t="s">
        <v>2315</v>
      </c>
      <c r="E16" s="776" t="s">
        <v>2313</v>
      </c>
      <c r="F16" s="776" t="s">
        <v>379</v>
      </c>
      <c r="G16" s="776">
        <f>VLOOKUP(F16,[3]Sheet2!A:B,2,FALSE)</f>
        <v>101253</v>
      </c>
      <c r="H16" s="789">
        <v>101253</v>
      </c>
      <c r="I16" s="789"/>
    </row>
    <row r="17" spans="1:9" outlineLevel="2">
      <c r="A17" s="776">
        <v>64</v>
      </c>
      <c r="B17" s="776" t="s">
        <v>2329</v>
      </c>
      <c r="C17" s="776" t="s">
        <v>425</v>
      </c>
      <c r="D17" s="776" t="s">
        <v>2315</v>
      </c>
      <c r="E17" s="776" t="s">
        <v>2313</v>
      </c>
      <c r="F17" s="776" t="s">
        <v>379</v>
      </c>
      <c r="G17" s="776">
        <f>VLOOKUP(F17,[3]Sheet2!A:B,2,FALSE)</f>
        <v>101253</v>
      </c>
      <c r="H17" s="789">
        <v>101253</v>
      </c>
      <c r="I17" s="789"/>
    </row>
    <row r="18" spans="1:9" outlineLevel="2">
      <c r="A18" s="776">
        <v>65</v>
      </c>
      <c r="B18" s="776" t="s">
        <v>2330</v>
      </c>
      <c r="C18" s="776" t="s">
        <v>425</v>
      </c>
      <c r="D18" s="776" t="s">
        <v>2315</v>
      </c>
      <c r="E18" s="776" t="s">
        <v>2313</v>
      </c>
      <c r="F18" s="776" t="s">
        <v>379</v>
      </c>
      <c r="G18" s="776">
        <f>VLOOKUP(F18,[3]Sheet2!A:B,2,FALSE)</f>
        <v>101253</v>
      </c>
      <c r="H18" s="789">
        <v>101253</v>
      </c>
      <c r="I18" s="789"/>
    </row>
    <row r="19" spans="1:9" outlineLevel="2">
      <c r="A19" s="776">
        <v>66</v>
      </c>
      <c r="B19" s="776" t="s">
        <v>2331</v>
      </c>
      <c r="C19" s="776" t="s">
        <v>422</v>
      </c>
      <c r="D19" s="776" t="s">
        <v>2315</v>
      </c>
      <c r="E19" s="776" t="s">
        <v>2313</v>
      </c>
      <c r="F19" s="776" t="s">
        <v>379</v>
      </c>
      <c r="G19" s="776">
        <f>VLOOKUP(F19,[3]Sheet2!A:B,2,FALSE)</f>
        <v>101253</v>
      </c>
      <c r="H19" s="789">
        <v>101253</v>
      </c>
      <c r="I19" s="789"/>
    </row>
    <row r="20" spans="1:9" outlineLevel="2">
      <c r="A20" s="776">
        <v>67</v>
      </c>
      <c r="B20" s="776" t="s">
        <v>2332</v>
      </c>
      <c r="C20" s="776" t="s">
        <v>422</v>
      </c>
      <c r="D20" s="776" t="s">
        <v>2315</v>
      </c>
      <c r="E20" s="776" t="s">
        <v>2313</v>
      </c>
      <c r="F20" s="776" t="s">
        <v>379</v>
      </c>
      <c r="G20" s="776">
        <f>VLOOKUP(F20,[3]Sheet2!A:B,2,FALSE)</f>
        <v>101253</v>
      </c>
      <c r="H20" s="789">
        <v>101253</v>
      </c>
      <c r="I20" s="789"/>
    </row>
    <row r="21" spans="1:9" outlineLevel="2">
      <c r="A21" s="776">
        <v>68</v>
      </c>
      <c r="B21" s="776" t="s">
        <v>2333</v>
      </c>
      <c r="C21" s="776" t="s">
        <v>423</v>
      </c>
      <c r="D21" s="776" t="s">
        <v>2315</v>
      </c>
      <c r="E21" s="776" t="s">
        <v>2313</v>
      </c>
      <c r="F21" s="776" t="s">
        <v>379</v>
      </c>
      <c r="G21" s="776">
        <f>VLOOKUP(F21,[3]Sheet2!A:B,2,FALSE)</f>
        <v>101253</v>
      </c>
      <c r="H21" s="789">
        <v>101253</v>
      </c>
      <c r="I21" s="789"/>
    </row>
    <row r="22" spans="1:9" outlineLevel="2">
      <c r="A22" s="776">
        <v>69</v>
      </c>
      <c r="B22" s="776" t="s">
        <v>2334</v>
      </c>
      <c r="C22" s="776" t="s">
        <v>424</v>
      </c>
      <c r="D22" s="776" t="s">
        <v>2315</v>
      </c>
      <c r="E22" s="776" t="s">
        <v>2313</v>
      </c>
      <c r="F22" s="776" t="s">
        <v>379</v>
      </c>
      <c r="G22" s="776">
        <f>VLOOKUP(F22,[3]Sheet2!A:B,2,FALSE)</f>
        <v>101253</v>
      </c>
      <c r="H22" s="789">
        <v>101253</v>
      </c>
      <c r="I22" s="789"/>
    </row>
    <row r="23" spans="1:9" outlineLevel="2">
      <c r="A23" s="776">
        <v>70</v>
      </c>
      <c r="B23" s="776" t="s">
        <v>2335</v>
      </c>
      <c r="C23" s="776" t="s">
        <v>435</v>
      </c>
      <c r="D23" s="776" t="s">
        <v>2315</v>
      </c>
      <c r="E23" s="776" t="s">
        <v>2313</v>
      </c>
      <c r="F23" s="776" t="s">
        <v>374</v>
      </c>
      <c r="G23" s="776">
        <f>VLOOKUP(F23,[3]Sheet2!A:B,2,FALSE)</f>
        <v>106938</v>
      </c>
      <c r="H23" s="789">
        <v>106938</v>
      </c>
      <c r="I23" s="789"/>
    </row>
    <row r="24" spans="1:9" outlineLevel="2">
      <c r="A24" s="776">
        <v>71</v>
      </c>
      <c r="B24" s="776" t="s">
        <v>2336</v>
      </c>
      <c r="C24" s="776" t="s">
        <v>435</v>
      </c>
      <c r="D24" s="776" t="s">
        <v>2315</v>
      </c>
      <c r="E24" s="776" t="s">
        <v>2313</v>
      </c>
      <c r="F24" s="776" t="s">
        <v>374</v>
      </c>
      <c r="G24" s="776">
        <f>VLOOKUP(F24,[3]Sheet2!A:B,2,FALSE)</f>
        <v>106938</v>
      </c>
      <c r="H24" s="789">
        <v>106938</v>
      </c>
      <c r="I24" s="789"/>
    </row>
    <row r="25" spans="1:9" outlineLevel="2">
      <c r="A25" s="776">
        <v>72</v>
      </c>
      <c r="B25" s="776" t="s">
        <v>2337</v>
      </c>
      <c r="C25" s="776" t="s">
        <v>435</v>
      </c>
      <c r="D25" s="776" t="s">
        <v>2315</v>
      </c>
      <c r="E25" s="776" t="s">
        <v>2313</v>
      </c>
      <c r="F25" s="776" t="s">
        <v>374</v>
      </c>
      <c r="G25" s="776">
        <f>VLOOKUP(F25,[3]Sheet2!A:B,2,FALSE)</f>
        <v>106938</v>
      </c>
      <c r="H25" s="789">
        <v>106938</v>
      </c>
      <c r="I25" s="789"/>
    </row>
    <row r="26" spans="1:9" outlineLevel="2">
      <c r="A26" s="776">
        <v>73</v>
      </c>
      <c r="B26" s="776" t="s">
        <v>2338</v>
      </c>
      <c r="C26" s="776" t="s">
        <v>435</v>
      </c>
      <c r="D26" s="776" t="s">
        <v>2315</v>
      </c>
      <c r="E26" s="776" t="s">
        <v>2313</v>
      </c>
      <c r="F26" s="776" t="s">
        <v>374</v>
      </c>
      <c r="G26" s="776">
        <f>VLOOKUP(F26,[3]Sheet2!A:B,2,FALSE)</f>
        <v>106938</v>
      </c>
      <c r="H26" s="789">
        <v>106938</v>
      </c>
      <c r="I26" s="789"/>
    </row>
    <row r="27" spans="1:9" outlineLevel="2">
      <c r="A27" s="776">
        <v>74</v>
      </c>
      <c r="B27" s="776" t="s">
        <v>2339</v>
      </c>
      <c r="C27" s="776" t="s">
        <v>435</v>
      </c>
      <c r="D27" s="776" t="s">
        <v>2315</v>
      </c>
      <c r="E27" s="776" t="s">
        <v>2313</v>
      </c>
      <c r="F27" s="776" t="s">
        <v>374</v>
      </c>
      <c r="G27" s="776">
        <f>VLOOKUP(F27,[3]Sheet2!A:B,2,FALSE)</f>
        <v>106938</v>
      </c>
      <c r="H27" s="789">
        <v>106938</v>
      </c>
      <c r="I27" s="789"/>
    </row>
    <row r="28" spans="1:9" outlineLevel="2">
      <c r="A28" s="776">
        <v>75</v>
      </c>
      <c r="B28" s="776" t="s">
        <v>2340</v>
      </c>
      <c r="C28" s="776" t="s">
        <v>435</v>
      </c>
      <c r="D28" s="776" t="s">
        <v>2315</v>
      </c>
      <c r="E28" s="776" t="s">
        <v>2313</v>
      </c>
      <c r="F28" s="776" t="s">
        <v>374</v>
      </c>
      <c r="G28" s="776">
        <f>VLOOKUP(F28,[3]Sheet2!A:B,2,FALSE)</f>
        <v>106938</v>
      </c>
      <c r="H28" s="789">
        <v>106938</v>
      </c>
      <c r="I28" s="789"/>
    </row>
    <row r="29" spans="1:9" outlineLevel="2">
      <c r="A29" s="776">
        <v>76</v>
      </c>
      <c r="B29" s="776" t="s">
        <v>2341</v>
      </c>
      <c r="C29" s="776" t="s">
        <v>435</v>
      </c>
      <c r="D29" s="776" t="s">
        <v>2315</v>
      </c>
      <c r="E29" s="776" t="s">
        <v>2313</v>
      </c>
      <c r="F29" s="776" t="s">
        <v>374</v>
      </c>
      <c r="G29" s="776">
        <f>VLOOKUP(F29,[3]Sheet2!A:B,2,FALSE)</f>
        <v>106938</v>
      </c>
      <c r="H29" s="789">
        <v>106938</v>
      </c>
      <c r="I29" s="789"/>
    </row>
    <row r="30" spans="1:9" outlineLevel="2">
      <c r="A30" s="776">
        <v>77</v>
      </c>
      <c r="B30" s="776" t="s">
        <v>2342</v>
      </c>
      <c r="C30" s="776" t="s">
        <v>435</v>
      </c>
      <c r="D30" s="776" t="s">
        <v>2315</v>
      </c>
      <c r="E30" s="776" t="s">
        <v>2313</v>
      </c>
      <c r="F30" s="776" t="s">
        <v>374</v>
      </c>
      <c r="G30" s="776">
        <f>VLOOKUP(F30,[3]Sheet2!A:B,2,FALSE)</f>
        <v>106938</v>
      </c>
      <c r="H30" s="789">
        <v>106938</v>
      </c>
      <c r="I30" s="789"/>
    </row>
    <row r="31" spans="1:9" outlineLevel="2">
      <c r="A31" s="776">
        <v>78</v>
      </c>
      <c r="B31" s="776" t="s">
        <v>2343</v>
      </c>
      <c r="C31" s="776" t="s">
        <v>420</v>
      </c>
      <c r="D31" s="776" t="s">
        <v>2315</v>
      </c>
      <c r="E31" s="776" t="s">
        <v>2313</v>
      </c>
      <c r="F31" s="776" t="s">
        <v>374</v>
      </c>
      <c r="G31" s="776">
        <f>VLOOKUP(F31,[3]Sheet2!A:B,2,FALSE)</f>
        <v>106938</v>
      </c>
      <c r="H31" s="789">
        <v>106938</v>
      </c>
      <c r="I31" s="789"/>
    </row>
    <row r="32" spans="1:9" outlineLevel="2">
      <c r="A32" s="776">
        <v>79</v>
      </c>
      <c r="B32" s="776" t="s">
        <v>2344</v>
      </c>
      <c r="C32" s="776" t="s">
        <v>417</v>
      </c>
      <c r="D32" s="776" t="s">
        <v>2315</v>
      </c>
      <c r="E32" s="776" t="s">
        <v>2313</v>
      </c>
      <c r="F32" s="776" t="s">
        <v>374</v>
      </c>
      <c r="G32" s="776">
        <f>VLOOKUP(F32,[3]Sheet2!A:B,2,FALSE)</f>
        <v>106938</v>
      </c>
      <c r="H32" s="789">
        <v>106938</v>
      </c>
      <c r="I32" s="789"/>
    </row>
    <row r="33" spans="1:9" outlineLevel="2">
      <c r="A33" s="776">
        <v>80</v>
      </c>
      <c r="B33" s="776" t="s">
        <v>2345</v>
      </c>
      <c r="C33" s="776" t="s">
        <v>417</v>
      </c>
      <c r="D33" s="776" t="s">
        <v>2315</v>
      </c>
      <c r="E33" s="776" t="s">
        <v>2313</v>
      </c>
      <c r="F33" s="776" t="s">
        <v>374</v>
      </c>
      <c r="G33" s="776">
        <f>VLOOKUP(F33,[3]Sheet2!A:B,2,FALSE)</f>
        <v>106938</v>
      </c>
      <c r="H33" s="789">
        <v>106938</v>
      </c>
      <c r="I33" s="789"/>
    </row>
    <row r="34" spans="1:9" outlineLevel="2">
      <c r="A34" s="776">
        <v>81</v>
      </c>
      <c r="B34" s="776" t="s">
        <v>2346</v>
      </c>
      <c r="C34" s="776" t="s">
        <v>417</v>
      </c>
      <c r="D34" s="776" t="s">
        <v>2315</v>
      </c>
      <c r="E34" s="776" t="s">
        <v>2313</v>
      </c>
      <c r="F34" s="776" t="s">
        <v>374</v>
      </c>
      <c r="G34" s="776">
        <f>VLOOKUP(F34,[3]Sheet2!A:B,2,FALSE)</f>
        <v>106938</v>
      </c>
      <c r="H34" s="789">
        <v>106938</v>
      </c>
      <c r="I34" s="789"/>
    </row>
    <row r="35" spans="1:9" outlineLevel="1">
      <c r="A35" s="776"/>
      <c r="B35" s="776"/>
      <c r="C35" s="776"/>
      <c r="D35" s="778" t="s">
        <v>743</v>
      </c>
      <c r="E35" s="776"/>
      <c r="F35" s="776"/>
      <c r="G35" s="776">
        <f>SUBTOTAL(9,G3:G34)</f>
        <v>3226452</v>
      </c>
      <c r="H35" s="788">
        <f t="shared" ref="H35:I35" si="0">SUBTOTAL(9,H3:H34)</f>
        <v>3226452</v>
      </c>
      <c r="I35" s="788">
        <f t="shared" si="0"/>
        <v>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>
  <dimension ref="A1:E22"/>
  <sheetViews>
    <sheetView topLeftCell="A2" workbookViewId="0">
      <selection activeCell="A23" sqref="A23:XFD116"/>
    </sheetView>
  </sheetViews>
  <sheetFormatPr defaultRowHeight="13.5" outlineLevelRow="2"/>
  <cols>
    <col min="1" max="1" width="13.25" style="155" customWidth="1"/>
    <col min="2" max="2" width="34.125" customWidth="1"/>
    <col min="3" max="3" width="20.625" style="155" customWidth="1"/>
    <col min="4" max="5" width="20.625" customWidth="1"/>
  </cols>
  <sheetData>
    <row r="1" spans="1:5" s="846" customFormat="1" ht="20.25">
      <c r="A1" s="1156" t="s">
        <v>2409</v>
      </c>
      <c r="B1" s="1157"/>
      <c r="C1" s="1157"/>
      <c r="D1" s="1157"/>
      <c r="E1" s="1157"/>
    </row>
    <row r="2" spans="1:5" s="155" customFormat="1">
      <c r="A2" s="730" t="s">
        <v>2410</v>
      </c>
      <c r="B2" s="730" t="s">
        <v>2411</v>
      </c>
      <c r="C2" s="730" t="s">
        <v>2421</v>
      </c>
      <c r="D2" s="730" t="s">
        <v>2422</v>
      </c>
      <c r="E2" s="730" t="s">
        <v>2423</v>
      </c>
    </row>
    <row r="3" spans="1:5" outlineLevel="2">
      <c r="A3" s="730" t="s">
        <v>2420</v>
      </c>
      <c r="B3" s="730" t="s">
        <v>1542</v>
      </c>
      <c r="C3" s="730">
        <v>249869</v>
      </c>
      <c r="D3" s="730">
        <v>278536.5</v>
      </c>
      <c r="E3" s="730">
        <f t="shared" ref="E3:E21" si="0">C3-D3</f>
        <v>-28667.5</v>
      </c>
    </row>
    <row r="4" spans="1:5" outlineLevel="2">
      <c r="A4" s="730" t="s">
        <v>2420</v>
      </c>
      <c r="B4" s="730" t="s">
        <v>1323</v>
      </c>
      <c r="C4" s="730">
        <v>239532.2</v>
      </c>
      <c r="D4" s="730">
        <v>285762.86</v>
      </c>
      <c r="E4" s="730">
        <f t="shared" si="0"/>
        <v>-46230.659999999974</v>
      </c>
    </row>
    <row r="5" spans="1:5" outlineLevel="2">
      <c r="A5" s="730" t="s">
        <v>2420</v>
      </c>
      <c r="B5" s="730" t="s">
        <v>2412</v>
      </c>
      <c r="C5" s="730">
        <v>185139.20000000001</v>
      </c>
      <c r="D5" s="730">
        <v>227692.29</v>
      </c>
      <c r="E5" s="730">
        <f t="shared" si="0"/>
        <v>-42553.09</v>
      </c>
    </row>
    <row r="6" spans="1:5" outlineLevel="2">
      <c r="A6" s="730" t="s">
        <v>2420</v>
      </c>
      <c r="B6" s="730" t="s">
        <v>2413</v>
      </c>
      <c r="C6" s="730">
        <v>7614.2</v>
      </c>
      <c r="D6" s="730">
        <v>22268.57</v>
      </c>
      <c r="E6" s="730">
        <f t="shared" si="0"/>
        <v>-14654.369999999999</v>
      </c>
    </row>
    <row r="7" spans="1:5" outlineLevel="2">
      <c r="A7" s="730" t="s">
        <v>2420</v>
      </c>
      <c r="B7" s="780" t="s">
        <v>489</v>
      </c>
      <c r="C7" s="730">
        <v>110334.6</v>
      </c>
      <c r="D7" s="730">
        <v>154512</v>
      </c>
      <c r="E7" s="730">
        <f t="shared" si="0"/>
        <v>-44177.399999999994</v>
      </c>
    </row>
    <row r="8" spans="1:5" outlineLevel="2">
      <c r="A8" s="730" t="s">
        <v>2420</v>
      </c>
      <c r="B8" s="730" t="s">
        <v>2414</v>
      </c>
      <c r="C8" s="730">
        <v>240426.3</v>
      </c>
      <c r="D8" s="730">
        <v>278398.28999999998</v>
      </c>
      <c r="E8" s="730">
        <f t="shared" si="0"/>
        <v>-37971.989999999991</v>
      </c>
    </row>
    <row r="9" spans="1:5" outlineLevel="2">
      <c r="A9" s="730" t="s">
        <v>2420</v>
      </c>
      <c r="B9" s="730" t="s">
        <v>491</v>
      </c>
      <c r="C9" s="730">
        <v>203817.1</v>
      </c>
      <c r="D9" s="730">
        <v>236936.57</v>
      </c>
      <c r="E9" s="730">
        <f t="shared" si="0"/>
        <v>-33119.47</v>
      </c>
    </row>
    <row r="10" spans="1:5" outlineLevel="2">
      <c r="A10" s="730" t="s">
        <v>2420</v>
      </c>
      <c r="B10" s="730" t="s">
        <v>492</v>
      </c>
      <c r="C10" s="730">
        <v>243996.4</v>
      </c>
      <c r="D10" s="730">
        <v>288401.14</v>
      </c>
      <c r="E10" s="730">
        <f t="shared" si="0"/>
        <v>-44404.74000000002</v>
      </c>
    </row>
    <row r="11" spans="1:5" outlineLevel="2">
      <c r="A11" s="730" t="s">
        <v>2420</v>
      </c>
      <c r="B11" s="730" t="s">
        <v>1580</v>
      </c>
      <c r="C11" s="730">
        <v>121057.2</v>
      </c>
      <c r="D11" s="730">
        <v>146795.14000000001</v>
      </c>
      <c r="E11" s="730">
        <f t="shared" si="0"/>
        <v>-25737.940000000017</v>
      </c>
    </row>
    <row r="12" spans="1:5" outlineLevel="2">
      <c r="A12" s="730" t="s">
        <v>2420</v>
      </c>
      <c r="B12" s="780" t="s">
        <v>2415</v>
      </c>
      <c r="C12" s="730">
        <v>113087.5</v>
      </c>
      <c r="D12" s="730">
        <v>179781.43</v>
      </c>
      <c r="E12" s="730">
        <f t="shared" si="0"/>
        <v>-66693.929999999993</v>
      </c>
    </row>
    <row r="13" spans="1:5" outlineLevel="2">
      <c r="A13" s="730" t="s">
        <v>2420</v>
      </c>
      <c r="B13" s="730" t="s">
        <v>2399</v>
      </c>
      <c r="C13" s="730">
        <v>142192.79999999999</v>
      </c>
      <c r="D13" s="730">
        <v>168225.43</v>
      </c>
      <c r="E13" s="730">
        <f t="shared" si="0"/>
        <v>-26032.630000000005</v>
      </c>
    </row>
    <row r="14" spans="1:5" outlineLevel="2">
      <c r="A14" s="730" t="s">
        <v>2420</v>
      </c>
      <c r="B14" s="730" t="s">
        <v>493</v>
      </c>
      <c r="C14" s="730">
        <v>151148.29999999999</v>
      </c>
      <c r="D14" s="730">
        <v>175836.86</v>
      </c>
      <c r="E14" s="730">
        <f t="shared" si="0"/>
        <v>-24688.559999999998</v>
      </c>
    </row>
    <row r="15" spans="1:5" outlineLevel="2">
      <c r="A15" s="730" t="s">
        <v>2420</v>
      </c>
      <c r="B15" s="730" t="s">
        <v>1555</v>
      </c>
      <c r="C15" s="730">
        <v>92582.5</v>
      </c>
      <c r="D15" s="730">
        <v>101690.57</v>
      </c>
      <c r="E15" s="730">
        <f t="shared" si="0"/>
        <v>-9108.070000000007</v>
      </c>
    </row>
    <row r="16" spans="1:5" outlineLevel="2">
      <c r="A16" s="730" t="s">
        <v>2420</v>
      </c>
      <c r="B16" s="730" t="s">
        <v>2138</v>
      </c>
      <c r="C16" s="730">
        <v>51508.3</v>
      </c>
      <c r="D16" s="730">
        <v>59222.57</v>
      </c>
      <c r="E16" s="730">
        <f t="shared" si="0"/>
        <v>-7714.2699999999968</v>
      </c>
    </row>
    <row r="17" spans="1:5" outlineLevel="2">
      <c r="A17" s="730" t="s">
        <v>2420</v>
      </c>
      <c r="B17" s="730" t="s">
        <v>2416</v>
      </c>
      <c r="C17" s="730">
        <v>132703.5</v>
      </c>
      <c r="D17" s="730">
        <v>147974.79</v>
      </c>
      <c r="E17" s="730">
        <f t="shared" si="0"/>
        <v>-15271.290000000008</v>
      </c>
    </row>
    <row r="18" spans="1:5" outlineLevel="2">
      <c r="A18" s="730" t="s">
        <v>2420</v>
      </c>
      <c r="B18" s="730" t="s">
        <v>2406</v>
      </c>
      <c r="C18" s="730">
        <v>83493.7</v>
      </c>
      <c r="D18" s="730">
        <v>104482.29</v>
      </c>
      <c r="E18" s="730">
        <f t="shared" si="0"/>
        <v>-20988.589999999997</v>
      </c>
    </row>
    <row r="19" spans="1:5" outlineLevel="2">
      <c r="A19" s="730" t="s">
        <v>2420</v>
      </c>
      <c r="B19" s="730" t="s">
        <v>2417</v>
      </c>
      <c r="C19" s="730">
        <v>56198.9</v>
      </c>
      <c r="D19" s="730">
        <v>66965.14</v>
      </c>
      <c r="E19" s="730">
        <f t="shared" si="0"/>
        <v>-10766.239999999998</v>
      </c>
    </row>
    <row r="20" spans="1:5" outlineLevel="2">
      <c r="A20" s="730" t="s">
        <v>2420</v>
      </c>
      <c r="B20" s="730" t="s">
        <v>2418</v>
      </c>
      <c r="C20" s="730">
        <v>38305.800000000003</v>
      </c>
      <c r="D20" s="730">
        <v>55607.14</v>
      </c>
      <c r="E20" s="730">
        <f t="shared" si="0"/>
        <v>-17301.339999999997</v>
      </c>
    </row>
    <row r="21" spans="1:5" outlineLevel="2">
      <c r="A21" s="730" t="s">
        <v>2420</v>
      </c>
      <c r="B21" s="730" t="s">
        <v>2419</v>
      </c>
      <c r="C21" s="730">
        <v>17265.900000000001</v>
      </c>
      <c r="D21" s="730">
        <v>19694.57</v>
      </c>
      <c r="E21" s="730">
        <f t="shared" si="0"/>
        <v>-2428.6699999999983</v>
      </c>
    </row>
    <row r="22" spans="1:5" s="155" customFormat="1" outlineLevel="1">
      <c r="A22" s="781" t="s">
        <v>563</v>
      </c>
      <c r="B22" s="730"/>
      <c r="C22" s="730">
        <f>SUBTOTAL(9,C3:C21)</f>
        <v>2480273.3999999994</v>
      </c>
      <c r="D22" s="730">
        <f>SUBTOTAL(9,D3:D21)</f>
        <v>2998784.1500000004</v>
      </c>
      <c r="E22" s="730">
        <f>SUBTOTAL(9,E3:E21)</f>
        <v>-518510.74999999994</v>
      </c>
    </row>
  </sheetData>
  <mergeCells count="1">
    <mergeCell ref="A1:E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>
  <dimension ref="A1:J52"/>
  <sheetViews>
    <sheetView topLeftCell="A38" workbookViewId="0">
      <selection activeCell="A53" sqref="A53:XFD154"/>
    </sheetView>
  </sheetViews>
  <sheetFormatPr defaultRowHeight="13.5"/>
  <cols>
    <col min="1" max="1" width="6" customWidth="1"/>
    <col min="2" max="2" width="27.5" customWidth="1"/>
    <col min="3" max="3" width="15.75" customWidth="1"/>
    <col min="4" max="4" width="12" customWidth="1"/>
    <col min="5" max="5" width="19.875" customWidth="1"/>
    <col min="7" max="7" width="9.75" bestFit="1" customWidth="1"/>
    <col min="9" max="9" width="15.125" customWidth="1"/>
    <col min="10" max="10" width="18.75" customWidth="1"/>
  </cols>
  <sheetData>
    <row r="1" spans="1:10" ht="18.75">
      <c r="A1" s="900" t="s">
        <v>2268</v>
      </c>
      <c r="B1" s="900"/>
      <c r="C1" s="900"/>
      <c r="D1" s="900"/>
      <c r="E1" s="900"/>
      <c r="F1" s="900"/>
      <c r="G1" s="900"/>
      <c r="H1" s="900"/>
      <c r="I1" s="900"/>
      <c r="J1" s="900"/>
    </row>
    <row r="2" spans="1:10">
      <c r="A2" s="1159" t="s">
        <v>1</v>
      </c>
      <c r="B2" s="1160" t="s">
        <v>366</v>
      </c>
      <c r="C2" s="1160" t="s">
        <v>2</v>
      </c>
      <c r="D2" s="1160" t="s">
        <v>691</v>
      </c>
      <c r="E2" s="1160" t="s">
        <v>692</v>
      </c>
      <c r="F2" s="1160" t="s">
        <v>2267</v>
      </c>
      <c r="G2" s="1160" t="s">
        <v>695</v>
      </c>
      <c r="H2" s="1160" t="s">
        <v>694</v>
      </c>
      <c r="I2" s="1160" t="s">
        <v>696</v>
      </c>
      <c r="J2" s="1158" t="s">
        <v>25</v>
      </c>
    </row>
    <row r="3" spans="1:10">
      <c r="A3" s="1159"/>
      <c r="B3" s="1160"/>
      <c r="C3" s="1160"/>
      <c r="D3" s="1160"/>
      <c r="E3" s="1160"/>
      <c r="F3" s="1160"/>
      <c r="G3" s="1160"/>
      <c r="H3" s="1160"/>
      <c r="I3" s="1160"/>
      <c r="J3" s="1158"/>
    </row>
    <row r="4" spans="1:10" ht="18" customHeight="1">
      <c r="A4" s="724">
        <v>1</v>
      </c>
      <c r="B4" s="722" t="s">
        <v>435</v>
      </c>
      <c r="C4" s="723" t="s">
        <v>2172</v>
      </c>
      <c r="D4" s="722" t="s">
        <v>1169</v>
      </c>
      <c r="E4" s="722" t="s">
        <v>2173</v>
      </c>
      <c r="F4" s="722"/>
      <c r="G4" s="728">
        <v>400</v>
      </c>
      <c r="H4" s="724">
        <v>45</v>
      </c>
      <c r="I4" s="729">
        <f t="shared" ref="I4:I12" si="0">G4*H4</f>
        <v>18000</v>
      </c>
      <c r="J4" s="724"/>
    </row>
    <row r="5" spans="1:10" ht="18" customHeight="1">
      <c r="A5" s="724">
        <v>1</v>
      </c>
      <c r="B5" s="722" t="s">
        <v>435</v>
      </c>
      <c r="C5" s="723" t="s">
        <v>2172</v>
      </c>
      <c r="D5" s="722" t="s">
        <v>1169</v>
      </c>
      <c r="E5" s="725" t="s">
        <v>1872</v>
      </c>
      <c r="F5" s="722"/>
      <c r="G5" s="728">
        <v>2000</v>
      </c>
      <c r="H5" s="724">
        <v>1</v>
      </c>
      <c r="I5" s="729">
        <f t="shared" si="0"/>
        <v>2000</v>
      </c>
      <c r="J5" s="724"/>
    </row>
    <row r="6" spans="1:10" ht="18" customHeight="1">
      <c r="A6" s="724">
        <v>1</v>
      </c>
      <c r="B6" s="722" t="s">
        <v>435</v>
      </c>
      <c r="C6" s="723" t="s">
        <v>2172</v>
      </c>
      <c r="D6" s="722" t="s">
        <v>1169</v>
      </c>
      <c r="E6" s="725" t="s">
        <v>2174</v>
      </c>
      <c r="F6" s="722"/>
      <c r="G6" s="728">
        <v>3500</v>
      </c>
      <c r="H6" s="724">
        <v>1</v>
      </c>
      <c r="I6" s="729">
        <f t="shared" si="0"/>
        <v>3500</v>
      </c>
      <c r="J6" s="724"/>
    </row>
    <row r="7" spans="1:10" ht="18" customHeight="1">
      <c r="A7" s="724">
        <v>1</v>
      </c>
      <c r="B7" s="722" t="s">
        <v>435</v>
      </c>
      <c r="C7" s="723" t="s">
        <v>2172</v>
      </c>
      <c r="D7" s="722" t="s">
        <v>1169</v>
      </c>
      <c r="E7" s="725" t="s">
        <v>2198</v>
      </c>
      <c r="F7" s="722"/>
      <c r="G7" s="728">
        <v>1600</v>
      </c>
      <c r="H7" s="724">
        <v>8</v>
      </c>
      <c r="I7" s="729">
        <f t="shared" si="0"/>
        <v>12800</v>
      </c>
      <c r="J7" s="724"/>
    </row>
    <row r="8" spans="1:10" ht="18" customHeight="1">
      <c r="A8" s="724">
        <v>1</v>
      </c>
      <c r="B8" s="722" t="s">
        <v>435</v>
      </c>
      <c r="C8" s="723" t="s">
        <v>2172</v>
      </c>
      <c r="D8" s="722" t="s">
        <v>1169</v>
      </c>
      <c r="E8" s="725" t="s">
        <v>2199</v>
      </c>
      <c r="F8" s="722"/>
      <c r="G8" s="728">
        <v>700</v>
      </c>
      <c r="H8" s="724">
        <v>4</v>
      </c>
      <c r="I8" s="729">
        <f t="shared" si="0"/>
        <v>2800</v>
      </c>
      <c r="J8" s="724"/>
    </row>
    <row r="9" spans="1:10" ht="18" customHeight="1">
      <c r="A9" s="724">
        <v>1</v>
      </c>
      <c r="B9" s="722" t="s">
        <v>435</v>
      </c>
      <c r="C9" s="723" t="s">
        <v>2172</v>
      </c>
      <c r="D9" s="722" t="s">
        <v>1169</v>
      </c>
      <c r="E9" s="725" t="s">
        <v>2206</v>
      </c>
      <c r="F9" s="722"/>
      <c r="G9" s="728">
        <v>2000</v>
      </c>
      <c r="H9" s="724">
        <v>1</v>
      </c>
      <c r="I9" s="729">
        <f t="shared" si="0"/>
        <v>2000</v>
      </c>
      <c r="J9" s="724"/>
    </row>
    <row r="10" spans="1:10" ht="18" customHeight="1">
      <c r="A10" s="724">
        <v>1</v>
      </c>
      <c r="B10" s="722" t="s">
        <v>435</v>
      </c>
      <c r="C10" s="723" t="s">
        <v>2172</v>
      </c>
      <c r="D10" s="722" t="s">
        <v>1172</v>
      </c>
      <c r="E10" s="725" t="s">
        <v>2207</v>
      </c>
      <c r="F10" s="722"/>
      <c r="G10" s="728">
        <v>18000</v>
      </c>
      <c r="H10" s="724">
        <v>1</v>
      </c>
      <c r="I10" s="729">
        <f t="shared" si="0"/>
        <v>18000</v>
      </c>
      <c r="J10" s="724"/>
    </row>
    <row r="11" spans="1:10" ht="18" customHeight="1">
      <c r="A11" s="724">
        <v>1</v>
      </c>
      <c r="B11" s="722" t="s">
        <v>435</v>
      </c>
      <c r="C11" s="723" t="s">
        <v>2172</v>
      </c>
      <c r="D11" s="726" t="s">
        <v>2200</v>
      </c>
      <c r="E11" s="725" t="s">
        <v>2201</v>
      </c>
      <c r="F11" s="722"/>
      <c r="G11" s="728">
        <v>5000</v>
      </c>
      <c r="H11" s="724">
        <v>8</v>
      </c>
      <c r="I11" s="729">
        <f t="shared" si="0"/>
        <v>40000</v>
      </c>
      <c r="J11" s="724"/>
    </row>
    <row r="12" spans="1:10" ht="18" customHeight="1">
      <c r="A12" s="744">
        <v>1</v>
      </c>
      <c r="B12" s="722" t="s">
        <v>435</v>
      </c>
      <c r="C12" s="723" t="s">
        <v>2272</v>
      </c>
      <c r="D12" s="727" t="s">
        <v>2190</v>
      </c>
      <c r="E12" s="725" t="s">
        <v>2203</v>
      </c>
      <c r="F12" s="722"/>
      <c r="G12" s="728">
        <v>7300</v>
      </c>
      <c r="H12" s="744">
        <v>2</v>
      </c>
      <c r="I12" s="729">
        <f t="shared" si="0"/>
        <v>14600</v>
      </c>
      <c r="J12" s="724"/>
    </row>
    <row r="13" spans="1:10" s="155" customFormat="1" ht="18" customHeight="1">
      <c r="A13" s="744">
        <v>1</v>
      </c>
      <c r="B13" s="746" t="s">
        <v>435</v>
      </c>
      <c r="C13" s="747" t="s">
        <v>2273</v>
      </c>
      <c r="D13" s="746" t="s">
        <v>1169</v>
      </c>
      <c r="E13" s="746" t="s">
        <v>2173</v>
      </c>
      <c r="F13" s="748"/>
      <c r="G13" s="749">
        <v>400</v>
      </c>
      <c r="H13" s="748">
        <v>225</v>
      </c>
      <c r="I13" s="750">
        <v>90000</v>
      </c>
      <c r="J13" s="745"/>
    </row>
    <row r="14" spans="1:10" s="155" customFormat="1" ht="18" customHeight="1">
      <c r="A14" s="744">
        <v>1</v>
      </c>
      <c r="B14" s="746" t="s">
        <v>435</v>
      </c>
      <c r="C14" s="747" t="s">
        <v>2273</v>
      </c>
      <c r="D14" s="746" t="s">
        <v>1169</v>
      </c>
      <c r="E14" s="751" t="s">
        <v>1872</v>
      </c>
      <c r="F14" s="748"/>
      <c r="G14" s="749">
        <v>2000</v>
      </c>
      <c r="H14" s="748">
        <v>5</v>
      </c>
      <c r="I14" s="750">
        <v>10000</v>
      </c>
      <c r="J14" s="745"/>
    </row>
    <row r="15" spans="1:10" s="155" customFormat="1" ht="18" customHeight="1">
      <c r="A15" s="744">
        <v>1</v>
      </c>
      <c r="B15" s="746" t="s">
        <v>435</v>
      </c>
      <c r="C15" s="747" t="s">
        <v>2273</v>
      </c>
      <c r="D15" s="746" t="s">
        <v>1169</v>
      </c>
      <c r="E15" s="751" t="s">
        <v>2174</v>
      </c>
      <c r="F15" s="748"/>
      <c r="G15" s="749">
        <v>3500</v>
      </c>
      <c r="H15" s="748">
        <v>5</v>
      </c>
      <c r="I15" s="750">
        <v>17500</v>
      </c>
      <c r="J15" s="745"/>
    </row>
    <row r="16" spans="1:10" s="155" customFormat="1" ht="18" customHeight="1">
      <c r="A16" s="744">
        <v>1</v>
      </c>
      <c r="B16" s="746" t="s">
        <v>2271</v>
      </c>
      <c r="C16" s="747" t="s">
        <v>2273</v>
      </c>
      <c r="D16" s="746" t="s">
        <v>1169</v>
      </c>
      <c r="E16" s="751" t="s">
        <v>2229</v>
      </c>
      <c r="F16" s="748"/>
      <c r="G16" s="749">
        <v>1100</v>
      </c>
      <c r="H16" s="748">
        <v>5</v>
      </c>
      <c r="I16" s="750">
        <v>5500</v>
      </c>
      <c r="J16" s="745"/>
    </row>
    <row r="17" spans="1:10" s="155" customFormat="1" ht="18" customHeight="1">
      <c r="A17" s="744">
        <v>1</v>
      </c>
      <c r="B17" s="746" t="s">
        <v>435</v>
      </c>
      <c r="C17" s="747" t="s">
        <v>2273</v>
      </c>
      <c r="D17" s="746" t="s">
        <v>1169</v>
      </c>
      <c r="E17" s="751" t="s">
        <v>2198</v>
      </c>
      <c r="F17" s="748"/>
      <c r="G17" s="749">
        <v>1600</v>
      </c>
      <c r="H17" s="748">
        <v>20</v>
      </c>
      <c r="I17" s="750">
        <v>32000</v>
      </c>
      <c r="J17" s="745"/>
    </row>
    <row r="18" spans="1:10" s="155" customFormat="1" ht="18" customHeight="1">
      <c r="A18" s="744">
        <v>1</v>
      </c>
      <c r="B18" s="746" t="s">
        <v>435</v>
      </c>
      <c r="C18" s="747" t="s">
        <v>2273</v>
      </c>
      <c r="D18" s="746" t="s">
        <v>1169</v>
      </c>
      <c r="E18" s="751" t="s">
        <v>2199</v>
      </c>
      <c r="F18" s="748"/>
      <c r="G18" s="749">
        <v>700</v>
      </c>
      <c r="H18" s="748">
        <v>10</v>
      </c>
      <c r="I18" s="750">
        <v>7000</v>
      </c>
      <c r="J18" s="745"/>
    </row>
    <row r="19" spans="1:10" s="155" customFormat="1" ht="18" customHeight="1">
      <c r="A19" s="744">
        <v>1</v>
      </c>
      <c r="B19" s="746" t="s">
        <v>435</v>
      </c>
      <c r="C19" s="747" t="s">
        <v>2273</v>
      </c>
      <c r="D19" s="746" t="s">
        <v>1169</v>
      </c>
      <c r="E19" s="751" t="s">
        <v>2206</v>
      </c>
      <c r="F19" s="748"/>
      <c r="G19" s="749">
        <v>2000</v>
      </c>
      <c r="H19" s="748">
        <v>5</v>
      </c>
      <c r="I19" s="750">
        <v>10000</v>
      </c>
      <c r="J19" s="745"/>
    </row>
    <row r="20" spans="1:10" s="216" customFormat="1" ht="18" customHeight="1">
      <c r="A20" s="744">
        <v>1</v>
      </c>
      <c r="B20" s="746" t="s">
        <v>435</v>
      </c>
      <c r="C20" s="747" t="s">
        <v>2273</v>
      </c>
      <c r="D20" s="746" t="s">
        <v>1172</v>
      </c>
      <c r="E20" s="751" t="s">
        <v>2207</v>
      </c>
      <c r="F20" s="748"/>
      <c r="G20" s="749">
        <v>8000</v>
      </c>
      <c r="H20" s="748">
        <v>5</v>
      </c>
      <c r="I20" s="750">
        <f>G20*H20</f>
        <v>40000</v>
      </c>
      <c r="J20" s="745"/>
    </row>
    <row r="21" spans="1:10" s="216" customFormat="1" ht="18" customHeight="1">
      <c r="A21" s="744">
        <v>1</v>
      </c>
      <c r="B21" s="746" t="s">
        <v>435</v>
      </c>
      <c r="C21" s="747" t="s">
        <v>2273</v>
      </c>
      <c r="D21" s="746" t="s">
        <v>1172</v>
      </c>
      <c r="E21" s="751" t="s">
        <v>2274</v>
      </c>
      <c r="F21" s="748"/>
      <c r="G21" s="749">
        <v>10000</v>
      </c>
      <c r="H21" s="748">
        <v>5</v>
      </c>
      <c r="I21" s="750">
        <f>G21*H21</f>
        <v>50000</v>
      </c>
      <c r="J21" s="745"/>
    </row>
    <row r="22" spans="1:10" s="155" customFormat="1" ht="18" customHeight="1">
      <c r="A22" s="744">
        <v>1</v>
      </c>
      <c r="B22" s="746" t="s">
        <v>435</v>
      </c>
      <c r="C22" s="747" t="s">
        <v>2273</v>
      </c>
      <c r="D22" s="752" t="s">
        <v>2200</v>
      </c>
      <c r="E22" s="751" t="s">
        <v>2201</v>
      </c>
      <c r="F22" s="748"/>
      <c r="G22" s="749">
        <v>5000</v>
      </c>
      <c r="H22" s="748">
        <v>20</v>
      </c>
      <c r="I22" s="750">
        <v>100000</v>
      </c>
      <c r="J22" s="745"/>
    </row>
    <row r="23" spans="1:10" s="155" customFormat="1" ht="18" customHeight="1">
      <c r="A23" s="744">
        <v>1</v>
      </c>
      <c r="B23" s="746" t="s">
        <v>435</v>
      </c>
      <c r="C23" s="747" t="s">
        <v>2273</v>
      </c>
      <c r="D23" s="753" t="s">
        <v>2190</v>
      </c>
      <c r="E23" s="751" t="s">
        <v>2203</v>
      </c>
      <c r="F23" s="748"/>
      <c r="G23" s="749">
        <v>7300</v>
      </c>
      <c r="H23" s="748">
        <v>10</v>
      </c>
      <c r="I23" s="750">
        <v>73000</v>
      </c>
      <c r="J23" s="745"/>
    </row>
    <row r="24" spans="1:10" s="155" customFormat="1" ht="18" customHeight="1">
      <c r="A24" s="744">
        <v>1</v>
      </c>
      <c r="B24" s="746" t="s">
        <v>435</v>
      </c>
      <c r="C24" s="739" t="s">
        <v>2275</v>
      </c>
      <c r="D24" s="754" t="s">
        <v>2276</v>
      </c>
      <c r="E24" s="754" t="s">
        <v>2277</v>
      </c>
      <c r="F24" s="748"/>
      <c r="G24" s="749">
        <v>300000</v>
      </c>
      <c r="H24" s="748">
        <v>1</v>
      </c>
      <c r="I24" s="750">
        <f>G24*H24</f>
        <v>300000</v>
      </c>
      <c r="J24" s="745"/>
    </row>
    <row r="25" spans="1:10" s="155" customFormat="1" ht="18" customHeight="1">
      <c r="A25" s="744">
        <v>1</v>
      </c>
      <c r="B25" s="746" t="s">
        <v>435</v>
      </c>
      <c r="C25" s="739" t="s">
        <v>2275</v>
      </c>
      <c r="D25" s="754" t="s">
        <v>2278</v>
      </c>
      <c r="E25" s="754" t="s">
        <v>2278</v>
      </c>
      <c r="F25" s="748"/>
      <c r="G25" s="749">
        <v>300000</v>
      </c>
      <c r="H25" s="748">
        <v>1</v>
      </c>
      <c r="I25" s="750">
        <f t="shared" ref="I25:I38" si="1">G25*H25</f>
        <v>300000</v>
      </c>
      <c r="J25" s="745"/>
    </row>
    <row r="26" spans="1:10" s="155" customFormat="1" ht="18" customHeight="1">
      <c r="A26" s="744">
        <v>1</v>
      </c>
      <c r="B26" s="746" t="s">
        <v>435</v>
      </c>
      <c r="C26" s="739" t="s">
        <v>2275</v>
      </c>
      <c r="D26" s="754" t="s">
        <v>2279</v>
      </c>
      <c r="E26" s="754" t="s">
        <v>2279</v>
      </c>
      <c r="F26" s="748"/>
      <c r="G26" s="749">
        <v>200000</v>
      </c>
      <c r="H26" s="748">
        <v>1</v>
      </c>
      <c r="I26" s="750">
        <f t="shared" si="1"/>
        <v>200000</v>
      </c>
      <c r="J26" s="745"/>
    </row>
    <row r="27" spans="1:10" s="155" customFormat="1" ht="18" customHeight="1">
      <c r="A27" s="744">
        <v>2</v>
      </c>
      <c r="B27" s="755" t="s">
        <v>1542</v>
      </c>
      <c r="C27" s="739" t="s">
        <v>2275</v>
      </c>
      <c r="D27" s="754" t="s">
        <v>2276</v>
      </c>
      <c r="E27" s="754" t="s">
        <v>2277</v>
      </c>
      <c r="F27" s="748"/>
      <c r="G27" s="749">
        <v>300000</v>
      </c>
      <c r="H27" s="748">
        <v>1</v>
      </c>
      <c r="I27" s="750">
        <f t="shared" si="1"/>
        <v>300000</v>
      </c>
      <c r="J27" s="745"/>
    </row>
    <row r="28" spans="1:10" s="155" customFormat="1" ht="18" customHeight="1">
      <c r="A28" s="744">
        <v>2</v>
      </c>
      <c r="B28" s="755" t="s">
        <v>1542</v>
      </c>
      <c r="C28" s="739" t="s">
        <v>2275</v>
      </c>
      <c r="D28" s="754" t="s">
        <v>2278</v>
      </c>
      <c r="E28" s="754" t="s">
        <v>2278</v>
      </c>
      <c r="F28" s="748"/>
      <c r="G28" s="749">
        <v>300000</v>
      </c>
      <c r="H28" s="748">
        <v>1</v>
      </c>
      <c r="I28" s="750">
        <f t="shared" si="1"/>
        <v>300000</v>
      </c>
      <c r="J28" s="745"/>
    </row>
    <row r="29" spans="1:10" s="155" customFormat="1" ht="18" customHeight="1">
      <c r="A29" s="744">
        <v>2</v>
      </c>
      <c r="B29" s="755" t="s">
        <v>1542</v>
      </c>
      <c r="C29" s="739" t="s">
        <v>2275</v>
      </c>
      <c r="D29" s="754" t="s">
        <v>2279</v>
      </c>
      <c r="E29" s="754" t="s">
        <v>2279</v>
      </c>
      <c r="F29" s="748"/>
      <c r="G29" s="749">
        <v>200000</v>
      </c>
      <c r="H29" s="748">
        <v>1</v>
      </c>
      <c r="I29" s="750">
        <f t="shared" si="1"/>
        <v>200000</v>
      </c>
      <c r="J29" s="745"/>
    </row>
    <row r="30" spans="1:10" s="155" customFormat="1" ht="18" customHeight="1">
      <c r="A30" s="744">
        <v>3</v>
      </c>
      <c r="B30" s="755" t="s">
        <v>1323</v>
      </c>
      <c r="C30" s="739" t="s">
        <v>2275</v>
      </c>
      <c r="D30" s="754" t="s">
        <v>2276</v>
      </c>
      <c r="E30" s="754" t="s">
        <v>2277</v>
      </c>
      <c r="F30" s="748"/>
      <c r="G30" s="749">
        <v>300000</v>
      </c>
      <c r="H30" s="748">
        <v>1</v>
      </c>
      <c r="I30" s="750">
        <f t="shared" si="1"/>
        <v>300000</v>
      </c>
      <c r="J30" s="745"/>
    </row>
    <row r="31" spans="1:10" s="155" customFormat="1" ht="18" customHeight="1">
      <c r="A31" s="744">
        <v>3</v>
      </c>
      <c r="B31" s="755" t="s">
        <v>1323</v>
      </c>
      <c r="C31" s="739" t="s">
        <v>2275</v>
      </c>
      <c r="D31" s="754" t="s">
        <v>2278</v>
      </c>
      <c r="E31" s="754" t="s">
        <v>2278</v>
      </c>
      <c r="F31" s="748"/>
      <c r="G31" s="749">
        <v>300000</v>
      </c>
      <c r="H31" s="748">
        <v>1</v>
      </c>
      <c r="I31" s="750">
        <f t="shared" si="1"/>
        <v>300000</v>
      </c>
      <c r="J31" s="745"/>
    </row>
    <row r="32" spans="1:10" s="155" customFormat="1" ht="18" customHeight="1">
      <c r="A32" s="744">
        <v>3</v>
      </c>
      <c r="B32" s="755" t="s">
        <v>1323</v>
      </c>
      <c r="C32" s="739" t="s">
        <v>2275</v>
      </c>
      <c r="D32" s="754" t="s">
        <v>2279</v>
      </c>
      <c r="E32" s="754" t="s">
        <v>2279</v>
      </c>
      <c r="F32" s="748"/>
      <c r="G32" s="749">
        <v>200000</v>
      </c>
      <c r="H32" s="748">
        <v>1</v>
      </c>
      <c r="I32" s="750">
        <f t="shared" si="1"/>
        <v>200000</v>
      </c>
      <c r="J32" s="745"/>
    </row>
    <row r="33" spans="1:10" s="155" customFormat="1" ht="18" customHeight="1">
      <c r="A33" s="744">
        <v>4</v>
      </c>
      <c r="B33" s="755" t="s">
        <v>2280</v>
      </c>
      <c r="C33" s="739" t="s">
        <v>2275</v>
      </c>
      <c r="D33" s="754" t="s">
        <v>2276</v>
      </c>
      <c r="E33" s="754" t="s">
        <v>2277</v>
      </c>
      <c r="F33" s="748"/>
      <c r="G33" s="749">
        <v>300000</v>
      </c>
      <c r="H33" s="748">
        <v>1</v>
      </c>
      <c r="I33" s="750">
        <f t="shared" si="1"/>
        <v>300000</v>
      </c>
      <c r="J33" s="745"/>
    </row>
    <row r="34" spans="1:10" s="155" customFormat="1" ht="18" customHeight="1">
      <c r="A34" s="744">
        <v>4</v>
      </c>
      <c r="B34" s="755" t="s">
        <v>2280</v>
      </c>
      <c r="C34" s="739" t="s">
        <v>2275</v>
      </c>
      <c r="D34" s="754" t="s">
        <v>2278</v>
      </c>
      <c r="E34" s="754" t="s">
        <v>2278</v>
      </c>
      <c r="F34" s="748"/>
      <c r="G34" s="749">
        <v>300000</v>
      </c>
      <c r="H34" s="748">
        <v>1</v>
      </c>
      <c r="I34" s="750">
        <f t="shared" si="1"/>
        <v>300000</v>
      </c>
      <c r="J34" s="745"/>
    </row>
    <row r="35" spans="1:10" s="155" customFormat="1" ht="18" customHeight="1">
      <c r="A35" s="744">
        <v>4</v>
      </c>
      <c r="B35" s="755" t="s">
        <v>2280</v>
      </c>
      <c r="C35" s="739" t="s">
        <v>2275</v>
      </c>
      <c r="D35" s="754" t="s">
        <v>2279</v>
      </c>
      <c r="E35" s="754" t="s">
        <v>2279</v>
      </c>
      <c r="F35" s="748"/>
      <c r="G35" s="749">
        <v>200000</v>
      </c>
      <c r="H35" s="748">
        <v>1</v>
      </c>
      <c r="I35" s="750">
        <f t="shared" si="1"/>
        <v>200000</v>
      </c>
      <c r="J35" s="745"/>
    </row>
    <row r="36" spans="1:10" s="155" customFormat="1" ht="18" customHeight="1">
      <c r="A36" s="744">
        <v>5</v>
      </c>
      <c r="B36" s="755" t="s">
        <v>489</v>
      </c>
      <c r="C36" s="739" t="s">
        <v>2275</v>
      </c>
      <c r="D36" s="754" t="s">
        <v>2276</v>
      </c>
      <c r="E36" s="754" t="s">
        <v>2277</v>
      </c>
      <c r="F36" s="748"/>
      <c r="G36" s="749">
        <v>300000</v>
      </c>
      <c r="H36" s="748">
        <v>1</v>
      </c>
      <c r="I36" s="750">
        <f t="shared" si="1"/>
        <v>300000</v>
      </c>
      <c r="J36" s="745"/>
    </row>
    <row r="37" spans="1:10" s="155" customFormat="1" ht="18" customHeight="1">
      <c r="A37" s="744">
        <v>5</v>
      </c>
      <c r="B37" s="755" t="s">
        <v>489</v>
      </c>
      <c r="C37" s="739" t="s">
        <v>2275</v>
      </c>
      <c r="D37" s="754" t="s">
        <v>2278</v>
      </c>
      <c r="E37" s="754" t="s">
        <v>2278</v>
      </c>
      <c r="F37" s="748"/>
      <c r="G37" s="749">
        <v>300000</v>
      </c>
      <c r="H37" s="748">
        <v>1</v>
      </c>
      <c r="I37" s="750">
        <f t="shared" si="1"/>
        <v>300000</v>
      </c>
      <c r="J37" s="745"/>
    </row>
    <row r="38" spans="1:10" s="155" customFormat="1" ht="18" customHeight="1">
      <c r="A38" s="744">
        <v>5</v>
      </c>
      <c r="B38" s="755" t="s">
        <v>489</v>
      </c>
      <c r="C38" s="739" t="s">
        <v>2275</v>
      </c>
      <c r="D38" s="754" t="s">
        <v>2279</v>
      </c>
      <c r="E38" s="754" t="s">
        <v>2279</v>
      </c>
      <c r="F38" s="748"/>
      <c r="G38" s="749">
        <v>200000</v>
      </c>
      <c r="H38" s="748">
        <v>1</v>
      </c>
      <c r="I38" s="750">
        <f t="shared" si="1"/>
        <v>200000</v>
      </c>
      <c r="J38" s="745"/>
    </row>
    <row r="39" spans="1:10" ht="18" customHeight="1">
      <c r="A39" s="724">
        <v>2</v>
      </c>
      <c r="B39" s="738" t="s">
        <v>433</v>
      </c>
      <c r="C39" s="739" t="s">
        <v>2172</v>
      </c>
      <c r="D39" s="740" t="s">
        <v>1169</v>
      </c>
      <c r="E39" s="727" t="s">
        <v>2178</v>
      </c>
      <c r="F39" s="741" t="s">
        <v>2179</v>
      </c>
      <c r="G39" s="732">
        <v>650</v>
      </c>
      <c r="H39" s="734">
        <v>5</v>
      </c>
      <c r="I39" s="735">
        <f>-G39*H39</f>
        <v>-3250</v>
      </c>
      <c r="J39" s="730" t="s">
        <v>2270</v>
      </c>
    </row>
    <row r="40" spans="1:10" ht="18" customHeight="1">
      <c r="A40" s="724">
        <v>2</v>
      </c>
      <c r="B40" s="738" t="s">
        <v>433</v>
      </c>
      <c r="C40" s="739" t="s">
        <v>2172</v>
      </c>
      <c r="D40" s="740" t="s">
        <v>1169</v>
      </c>
      <c r="E40" s="727" t="s">
        <v>2180</v>
      </c>
      <c r="F40" s="741" t="s">
        <v>2179</v>
      </c>
      <c r="G40" s="732">
        <v>650</v>
      </c>
      <c r="H40" s="734">
        <v>5</v>
      </c>
      <c r="I40" s="735">
        <f t="shared" ref="I40:I51" si="2">-G40*H40</f>
        <v>-3250</v>
      </c>
      <c r="J40" s="730" t="s">
        <v>2270</v>
      </c>
    </row>
    <row r="41" spans="1:10" ht="18" customHeight="1">
      <c r="A41" s="724">
        <v>2</v>
      </c>
      <c r="B41" s="738" t="s">
        <v>433</v>
      </c>
      <c r="C41" s="739" t="s">
        <v>2172</v>
      </c>
      <c r="D41" s="740" t="s">
        <v>1169</v>
      </c>
      <c r="E41" s="727" t="s">
        <v>2215</v>
      </c>
      <c r="F41" s="727" t="s">
        <v>2216</v>
      </c>
      <c r="G41" s="732">
        <v>380</v>
      </c>
      <c r="H41" s="734">
        <v>30</v>
      </c>
      <c r="I41" s="735">
        <f t="shared" si="2"/>
        <v>-11400</v>
      </c>
      <c r="J41" s="730" t="s">
        <v>2270</v>
      </c>
    </row>
    <row r="42" spans="1:10" ht="18" customHeight="1">
      <c r="A42" s="724">
        <v>2</v>
      </c>
      <c r="B42" s="738" t="s">
        <v>433</v>
      </c>
      <c r="C42" s="739" t="s">
        <v>2172</v>
      </c>
      <c r="D42" s="740" t="s">
        <v>1169</v>
      </c>
      <c r="E42" s="727" t="s">
        <v>2181</v>
      </c>
      <c r="F42" s="727" t="s">
        <v>2182</v>
      </c>
      <c r="G42" s="736">
        <v>2400</v>
      </c>
      <c r="H42" s="734">
        <v>1</v>
      </c>
      <c r="I42" s="735">
        <f t="shared" si="2"/>
        <v>-2400</v>
      </c>
      <c r="J42" s="730" t="s">
        <v>2270</v>
      </c>
    </row>
    <row r="43" spans="1:10" ht="18" customHeight="1">
      <c r="A43" s="724">
        <v>2</v>
      </c>
      <c r="B43" s="738" t="s">
        <v>433</v>
      </c>
      <c r="C43" s="739" t="s">
        <v>2172</v>
      </c>
      <c r="D43" s="740" t="s">
        <v>1169</v>
      </c>
      <c r="E43" s="727" t="s">
        <v>2183</v>
      </c>
      <c r="F43" s="727" t="s">
        <v>2184</v>
      </c>
      <c r="G43" s="732">
        <v>700</v>
      </c>
      <c r="H43" s="734">
        <v>1</v>
      </c>
      <c r="I43" s="735">
        <f t="shared" si="2"/>
        <v>-700</v>
      </c>
      <c r="J43" s="730" t="s">
        <v>2270</v>
      </c>
    </row>
    <row r="44" spans="1:10" ht="18" customHeight="1">
      <c r="A44" s="724">
        <v>2</v>
      </c>
      <c r="B44" s="738" t="s">
        <v>433</v>
      </c>
      <c r="C44" s="739" t="s">
        <v>2172</v>
      </c>
      <c r="D44" s="740" t="s">
        <v>1169</v>
      </c>
      <c r="E44" s="727" t="s">
        <v>2185</v>
      </c>
      <c r="F44" s="727" t="s">
        <v>2186</v>
      </c>
      <c r="G44" s="732">
        <v>6000</v>
      </c>
      <c r="H44" s="734">
        <v>1</v>
      </c>
      <c r="I44" s="735">
        <f t="shared" si="2"/>
        <v>-6000</v>
      </c>
      <c r="J44" s="730" t="s">
        <v>2270</v>
      </c>
    </row>
    <row r="45" spans="1:10" ht="18" customHeight="1">
      <c r="A45" s="724">
        <v>2</v>
      </c>
      <c r="B45" s="738" t="s">
        <v>433</v>
      </c>
      <c r="C45" s="739" t="s">
        <v>2172</v>
      </c>
      <c r="D45" s="740" t="s">
        <v>1175</v>
      </c>
      <c r="E45" s="727" t="s">
        <v>1175</v>
      </c>
      <c r="F45" s="727" t="s">
        <v>2187</v>
      </c>
      <c r="G45" s="732">
        <v>13000</v>
      </c>
      <c r="H45" s="734">
        <v>1</v>
      </c>
      <c r="I45" s="735">
        <f t="shared" si="2"/>
        <v>-13000</v>
      </c>
      <c r="J45" s="730" t="s">
        <v>2270</v>
      </c>
    </row>
    <row r="46" spans="1:10" ht="18" customHeight="1">
      <c r="A46" s="724">
        <v>2</v>
      </c>
      <c r="B46" s="738" t="s">
        <v>433</v>
      </c>
      <c r="C46" s="739" t="s">
        <v>2172</v>
      </c>
      <c r="D46" s="740" t="s">
        <v>2188</v>
      </c>
      <c r="E46" s="727" t="s">
        <v>2188</v>
      </c>
      <c r="F46" s="742" t="s">
        <v>2189</v>
      </c>
      <c r="G46" s="736">
        <v>9000</v>
      </c>
      <c r="H46" s="734">
        <v>1</v>
      </c>
      <c r="I46" s="735">
        <f t="shared" si="2"/>
        <v>-9000</v>
      </c>
      <c r="J46" s="730" t="s">
        <v>2270</v>
      </c>
    </row>
    <row r="47" spans="1:10" ht="18" customHeight="1">
      <c r="A47" s="724">
        <v>2</v>
      </c>
      <c r="B47" s="738" t="s">
        <v>433</v>
      </c>
      <c r="C47" s="739" t="s">
        <v>2172</v>
      </c>
      <c r="D47" s="727" t="s">
        <v>2190</v>
      </c>
      <c r="E47" s="727" t="s">
        <v>2191</v>
      </c>
      <c r="F47" s="727"/>
      <c r="G47" s="732">
        <v>7300</v>
      </c>
      <c r="H47" s="734">
        <v>1</v>
      </c>
      <c r="I47" s="735">
        <f t="shared" si="2"/>
        <v>-7300</v>
      </c>
      <c r="J47" s="730" t="s">
        <v>2270</v>
      </c>
    </row>
    <row r="48" spans="1:10" ht="18" customHeight="1">
      <c r="A48" s="724">
        <v>2</v>
      </c>
      <c r="B48" s="738" t="s">
        <v>433</v>
      </c>
      <c r="C48" s="739" t="s">
        <v>2172</v>
      </c>
      <c r="D48" s="727" t="s">
        <v>2190</v>
      </c>
      <c r="E48" s="727" t="s">
        <v>2192</v>
      </c>
      <c r="F48" s="727"/>
      <c r="G48" s="732">
        <v>12000</v>
      </c>
      <c r="H48" s="734">
        <v>1</v>
      </c>
      <c r="I48" s="735">
        <f t="shared" si="2"/>
        <v>-12000</v>
      </c>
      <c r="J48" s="730" t="s">
        <v>2270</v>
      </c>
    </row>
    <row r="49" spans="1:10" ht="18" customHeight="1">
      <c r="A49" s="724">
        <v>2</v>
      </c>
      <c r="B49" s="738" t="s">
        <v>433</v>
      </c>
      <c r="C49" s="739" t="s">
        <v>2172</v>
      </c>
      <c r="D49" s="743" t="s">
        <v>1172</v>
      </c>
      <c r="E49" s="727" t="s">
        <v>2193</v>
      </c>
      <c r="F49" s="727"/>
      <c r="G49" s="736">
        <v>10000</v>
      </c>
      <c r="H49" s="734">
        <v>1</v>
      </c>
      <c r="I49" s="735">
        <f t="shared" si="2"/>
        <v>-10000</v>
      </c>
      <c r="J49" s="730" t="s">
        <v>2270</v>
      </c>
    </row>
    <row r="50" spans="1:10" ht="18" customHeight="1">
      <c r="A50" s="724">
        <v>2</v>
      </c>
      <c r="B50" s="738" t="s">
        <v>433</v>
      </c>
      <c r="C50" s="739" t="s">
        <v>2172</v>
      </c>
      <c r="D50" s="727" t="s">
        <v>2194</v>
      </c>
      <c r="E50" s="727" t="s">
        <v>2194</v>
      </c>
      <c r="F50" s="727"/>
      <c r="G50" s="736">
        <v>1200</v>
      </c>
      <c r="H50" s="734">
        <v>1</v>
      </c>
      <c r="I50" s="735">
        <f t="shared" si="2"/>
        <v>-1200</v>
      </c>
      <c r="J50" s="730" t="s">
        <v>2270</v>
      </c>
    </row>
    <row r="51" spans="1:10" ht="18" customHeight="1">
      <c r="A51" s="724">
        <v>2</v>
      </c>
      <c r="B51" s="738" t="s">
        <v>433</v>
      </c>
      <c r="C51" s="739" t="s">
        <v>2172</v>
      </c>
      <c r="D51" s="727" t="s">
        <v>2195</v>
      </c>
      <c r="E51" s="727" t="s">
        <v>2195</v>
      </c>
      <c r="F51" s="727"/>
      <c r="G51" s="736">
        <v>1400</v>
      </c>
      <c r="H51" s="734">
        <v>1</v>
      </c>
      <c r="I51" s="735">
        <f t="shared" si="2"/>
        <v>-1400</v>
      </c>
      <c r="J51" s="730" t="s">
        <v>2270</v>
      </c>
    </row>
    <row r="52" spans="1:10" s="155" customFormat="1" ht="18" customHeight="1">
      <c r="A52" s="730"/>
      <c r="B52" s="737"/>
      <c r="C52" s="733" t="s">
        <v>2269</v>
      </c>
      <c r="D52" s="737"/>
      <c r="E52" s="737"/>
      <c r="F52" s="737"/>
      <c r="G52" s="730"/>
      <c r="H52" s="730"/>
      <c r="I52" s="731">
        <f>SUM(I4:I51)</f>
        <v>4467800</v>
      </c>
      <c r="J52" s="730"/>
    </row>
  </sheetData>
  <autoFilter ref="A2:J52"/>
  <mergeCells count="11">
    <mergeCell ref="J2:J3"/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A9" sqref="A9:XFD15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109" t="s">
        <v>2281</v>
      </c>
      <c r="B1" s="1110"/>
      <c r="C1" s="1110"/>
      <c r="D1" s="1110"/>
      <c r="E1" s="1110"/>
      <c r="F1" s="1110"/>
      <c r="G1" s="1110"/>
      <c r="H1" s="1110"/>
      <c r="I1" s="1110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551</v>
      </c>
      <c r="B3" s="757" t="s">
        <v>1542</v>
      </c>
      <c r="C3" s="759" t="s">
        <v>2282</v>
      </c>
      <c r="D3" s="759" t="s">
        <v>2282</v>
      </c>
      <c r="E3" s="759" t="s">
        <v>2282</v>
      </c>
      <c r="F3" s="664">
        <v>1</v>
      </c>
      <c r="G3" s="662">
        <v>200000</v>
      </c>
      <c r="H3" s="662">
        <f t="shared" ref="H3:H7" si="0">F3*G3</f>
        <v>200000</v>
      </c>
      <c r="I3" s="756"/>
    </row>
    <row r="4" spans="1:9" s="161" customFormat="1" ht="20.100000000000001" customHeight="1" outlineLevel="2">
      <c r="A4" s="662" t="s">
        <v>551</v>
      </c>
      <c r="B4" s="757" t="s">
        <v>1323</v>
      </c>
      <c r="C4" s="759" t="s">
        <v>2282</v>
      </c>
      <c r="D4" s="759" t="s">
        <v>2282</v>
      </c>
      <c r="E4" s="759" t="s">
        <v>2282</v>
      </c>
      <c r="F4" s="664">
        <v>1</v>
      </c>
      <c r="G4" s="662">
        <v>200000</v>
      </c>
      <c r="H4" s="662">
        <f t="shared" si="0"/>
        <v>200000</v>
      </c>
      <c r="I4" s="756"/>
    </row>
    <row r="5" spans="1:9" s="161" customFormat="1" ht="20.100000000000001" customHeight="1" outlineLevel="2">
      <c r="A5" s="662" t="s">
        <v>551</v>
      </c>
      <c r="B5" s="757" t="s">
        <v>2280</v>
      </c>
      <c r="C5" s="759" t="s">
        <v>2282</v>
      </c>
      <c r="D5" s="759" t="s">
        <v>2282</v>
      </c>
      <c r="E5" s="759" t="s">
        <v>2282</v>
      </c>
      <c r="F5" s="664">
        <v>1</v>
      </c>
      <c r="G5" s="662">
        <v>200000</v>
      </c>
      <c r="H5" s="662">
        <f t="shared" si="0"/>
        <v>200000</v>
      </c>
      <c r="I5" s="756"/>
    </row>
    <row r="6" spans="1:9" s="161" customFormat="1" ht="20.100000000000001" customHeight="1" outlineLevel="2">
      <c r="A6" s="662" t="s">
        <v>551</v>
      </c>
      <c r="B6" s="757" t="s">
        <v>489</v>
      </c>
      <c r="C6" s="759" t="s">
        <v>2282</v>
      </c>
      <c r="D6" s="759" t="s">
        <v>2282</v>
      </c>
      <c r="E6" s="759" t="s">
        <v>2282</v>
      </c>
      <c r="F6" s="664">
        <v>1</v>
      </c>
      <c r="G6" s="662">
        <v>200000</v>
      </c>
      <c r="H6" s="662">
        <f t="shared" si="0"/>
        <v>200000</v>
      </c>
      <c r="I6" s="756"/>
    </row>
    <row r="7" spans="1:9" s="161" customFormat="1" ht="20.100000000000001" customHeight="1" outlineLevel="2">
      <c r="A7" s="662" t="s">
        <v>551</v>
      </c>
      <c r="B7" s="758" t="s">
        <v>2283</v>
      </c>
      <c r="C7" s="759" t="s">
        <v>2282</v>
      </c>
      <c r="D7" s="759" t="s">
        <v>2282</v>
      </c>
      <c r="E7" s="759" t="s">
        <v>2282</v>
      </c>
      <c r="F7" s="664">
        <v>1</v>
      </c>
      <c r="G7" s="662">
        <v>200000</v>
      </c>
      <c r="H7" s="662">
        <f t="shared" si="0"/>
        <v>200000</v>
      </c>
      <c r="I7" s="756"/>
    </row>
    <row r="8" spans="1:9" s="161" customFormat="1" ht="20.100000000000001" customHeight="1" outlineLevel="1">
      <c r="A8" s="662" t="s">
        <v>563</v>
      </c>
      <c r="B8" s="758"/>
      <c r="C8" s="759"/>
      <c r="D8" s="759"/>
      <c r="E8" s="759"/>
      <c r="F8" s="664"/>
      <c r="G8" s="662"/>
      <c r="H8" s="662">
        <f>SUBTOTAL(9,H3:H7)</f>
        <v>1000000</v>
      </c>
      <c r="I8" s="756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A9" sqref="A9:XFD16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109" t="s">
        <v>2080</v>
      </c>
      <c r="B1" s="1110"/>
      <c r="C1" s="1110"/>
      <c r="D1" s="1110"/>
      <c r="E1" s="1110"/>
      <c r="F1" s="1110"/>
      <c r="G1" s="1110"/>
      <c r="H1" s="1110"/>
      <c r="I1" s="1110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551</v>
      </c>
      <c r="B3" s="757" t="s">
        <v>1542</v>
      </c>
      <c r="C3" s="759" t="s">
        <v>2284</v>
      </c>
      <c r="D3" s="759" t="s">
        <v>2284</v>
      </c>
      <c r="E3" s="759" t="s">
        <v>2284</v>
      </c>
      <c r="F3" s="664">
        <v>1</v>
      </c>
      <c r="G3" s="662">
        <v>500000</v>
      </c>
      <c r="H3" s="662">
        <f t="shared" ref="H3:H7" si="0">F3*G3</f>
        <v>500000</v>
      </c>
      <c r="I3" s="756"/>
    </row>
    <row r="4" spans="1:9" s="161" customFormat="1" ht="20.100000000000001" customHeight="1" outlineLevel="2">
      <c r="A4" s="662" t="s">
        <v>551</v>
      </c>
      <c r="B4" s="757" t="s">
        <v>1323</v>
      </c>
      <c r="C4" s="759" t="s">
        <v>2284</v>
      </c>
      <c r="D4" s="759" t="s">
        <v>2284</v>
      </c>
      <c r="E4" s="759" t="s">
        <v>2284</v>
      </c>
      <c r="F4" s="664">
        <v>1</v>
      </c>
      <c r="G4" s="662">
        <v>500000</v>
      </c>
      <c r="H4" s="662">
        <f t="shared" si="0"/>
        <v>500000</v>
      </c>
      <c r="I4" s="756"/>
    </row>
    <row r="5" spans="1:9" s="161" customFormat="1" ht="20.100000000000001" customHeight="1" outlineLevel="2">
      <c r="A5" s="662" t="s">
        <v>551</v>
      </c>
      <c r="B5" s="757" t="s">
        <v>2280</v>
      </c>
      <c r="C5" s="759" t="s">
        <v>2284</v>
      </c>
      <c r="D5" s="759" t="s">
        <v>2284</v>
      </c>
      <c r="E5" s="759" t="s">
        <v>2284</v>
      </c>
      <c r="F5" s="664">
        <v>1</v>
      </c>
      <c r="G5" s="662">
        <v>500000</v>
      </c>
      <c r="H5" s="662">
        <f t="shared" si="0"/>
        <v>500000</v>
      </c>
      <c r="I5" s="756"/>
    </row>
    <row r="6" spans="1:9" s="161" customFormat="1" ht="20.100000000000001" customHeight="1" outlineLevel="2">
      <c r="A6" s="662" t="s">
        <v>551</v>
      </c>
      <c r="B6" s="757" t="s">
        <v>489</v>
      </c>
      <c r="C6" s="759" t="s">
        <v>2284</v>
      </c>
      <c r="D6" s="759" t="s">
        <v>2284</v>
      </c>
      <c r="E6" s="759" t="s">
        <v>2284</v>
      </c>
      <c r="F6" s="664">
        <v>1</v>
      </c>
      <c r="G6" s="662">
        <v>500000</v>
      </c>
      <c r="H6" s="662">
        <f t="shared" si="0"/>
        <v>500000</v>
      </c>
      <c r="I6" s="756"/>
    </row>
    <row r="7" spans="1:9" s="161" customFormat="1" ht="20.100000000000001" customHeight="1" outlineLevel="2">
      <c r="A7" s="662" t="s">
        <v>551</v>
      </c>
      <c r="B7" s="758" t="s">
        <v>2283</v>
      </c>
      <c r="C7" s="759" t="s">
        <v>2284</v>
      </c>
      <c r="D7" s="759" t="s">
        <v>2284</v>
      </c>
      <c r="E7" s="759" t="s">
        <v>2284</v>
      </c>
      <c r="F7" s="664">
        <v>1</v>
      </c>
      <c r="G7" s="662">
        <v>500000</v>
      </c>
      <c r="H7" s="662">
        <f t="shared" si="0"/>
        <v>500000</v>
      </c>
      <c r="I7" s="756"/>
    </row>
    <row r="8" spans="1:9" s="161" customFormat="1" ht="20.100000000000001" customHeight="1" outlineLevel="1">
      <c r="A8" s="662" t="s">
        <v>563</v>
      </c>
      <c r="B8" s="758"/>
      <c r="C8" s="759"/>
      <c r="D8" s="759"/>
      <c r="E8" s="759"/>
      <c r="F8" s="664"/>
      <c r="G8" s="662"/>
      <c r="H8" s="662">
        <f>SUBTOTAL(9,H3:H7)</f>
        <v>2500000</v>
      </c>
      <c r="I8" s="756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>
  <dimension ref="A1:O11"/>
  <sheetViews>
    <sheetView workbookViewId="0">
      <selection activeCell="A11" sqref="A11:XFD11"/>
    </sheetView>
  </sheetViews>
  <sheetFormatPr defaultColWidth="9" defaultRowHeight="13.5"/>
  <cols>
    <col min="1" max="1" width="6.5" style="624" customWidth="1"/>
    <col min="2" max="2" width="24.375" style="624" customWidth="1"/>
    <col min="3" max="3" width="8.875" style="598" customWidth="1"/>
    <col min="4" max="4" width="10.375" style="624" customWidth="1"/>
    <col min="5" max="5" width="13" style="624" customWidth="1"/>
    <col min="6" max="6" width="10" style="625" customWidth="1"/>
    <col min="7" max="7" width="10.75" style="625" customWidth="1"/>
    <col min="8" max="8" width="13.125" style="625" customWidth="1"/>
    <col min="9" max="9" width="9.375" style="625" customWidth="1"/>
    <col min="10" max="10" width="26.625" style="155" hidden="1" customWidth="1"/>
    <col min="11" max="11" width="12" style="155" customWidth="1"/>
    <col min="12" max="12" width="12.125" style="155" customWidth="1"/>
    <col min="13" max="13" width="11.375" style="155" customWidth="1"/>
    <col min="14" max="14" width="11.875" style="155" customWidth="1"/>
    <col min="15" max="15" width="17.125" style="155" customWidth="1"/>
    <col min="16" max="16384" width="9" style="155"/>
  </cols>
  <sheetData>
    <row r="1" spans="1:15" ht="30" customHeight="1">
      <c r="A1" s="1065" t="s">
        <v>2307</v>
      </c>
      <c r="B1" s="1065"/>
      <c r="C1" s="1065"/>
      <c r="D1" s="1065"/>
      <c r="E1" s="1065"/>
      <c r="F1" s="1065"/>
      <c r="G1" s="1065"/>
      <c r="H1" s="1065"/>
      <c r="I1" s="1065"/>
      <c r="J1" s="1065"/>
      <c r="K1" s="1065"/>
      <c r="L1" s="1065"/>
      <c r="M1" s="1065"/>
      <c r="N1" s="1065"/>
      <c r="O1" s="870"/>
    </row>
    <row r="2" spans="1:15" s="598" customFormat="1" ht="45.75" customHeight="1">
      <c r="A2" s="760" t="s">
        <v>1</v>
      </c>
      <c r="B2" s="761" t="s">
        <v>2</v>
      </c>
      <c r="C2" s="761" t="s">
        <v>1815</v>
      </c>
      <c r="D2" s="762" t="s">
        <v>2287</v>
      </c>
      <c r="E2" s="762" t="s">
        <v>1679</v>
      </c>
      <c r="F2" s="762" t="s">
        <v>1816</v>
      </c>
      <c r="G2" s="762" t="s">
        <v>2288</v>
      </c>
      <c r="H2" s="762" t="s">
        <v>2289</v>
      </c>
      <c r="I2" s="762" t="s">
        <v>2290</v>
      </c>
      <c r="J2" s="762" t="s">
        <v>2291</v>
      </c>
      <c r="K2" s="762" t="s">
        <v>1820</v>
      </c>
      <c r="L2" s="762" t="s">
        <v>2292</v>
      </c>
      <c r="M2" s="762" t="s">
        <v>2305</v>
      </c>
      <c r="N2" s="763" t="s">
        <v>2304</v>
      </c>
      <c r="O2" s="763" t="s">
        <v>2306</v>
      </c>
    </row>
    <row r="3" spans="1:15" s="598" customFormat="1" ht="30" customHeight="1">
      <c r="A3" s="764">
        <v>1</v>
      </c>
      <c r="B3" s="765" t="s">
        <v>1824</v>
      </c>
      <c r="C3" s="764" t="s">
        <v>1825</v>
      </c>
      <c r="D3" s="764" t="s">
        <v>382</v>
      </c>
      <c r="E3" s="765" t="s">
        <v>1826</v>
      </c>
      <c r="F3" s="764">
        <v>15</v>
      </c>
      <c r="G3" s="764">
        <v>6600</v>
      </c>
      <c r="H3" s="764">
        <v>5731</v>
      </c>
      <c r="I3" s="764">
        <v>2313</v>
      </c>
      <c r="J3" s="766" t="s">
        <v>2293</v>
      </c>
      <c r="K3" s="764">
        <v>221436</v>
      </c>
      <c r="L3" s="764">
        <v>11565</v>
      </c>
      <c r="M3" s="764">
        <f>K3+L3</f>
        <v>233001</v>
      </c>
      <c r="N3" s="1161">
        <v>1890427</v>
      </c>
      <c r="O3" s="1164">
        <v>472606.75</v>
      </c>
    </row>
    <row r="4" spans="1:15" ht="30" customHeight="1">
      <c r="A4" s="764">
        <v>2</v>
      </c>
      <c r="B4" s="766" t="s">
        <v>1827</v>
      </c>
      <c r="C4" s="767" t="s">
        <v>1825</v>
      </c>
      <c r="D4" s="767" t="s">
        <v>382</v>
      </c>
      <c r="E4" s="768" t="s">
        <v>1828</v>
      </c>
      <c r="F4" s="767">
        <v>15</v>
      </c>
      <c r="G4" s="767">
        <v>7198</v>
      </c>
      <c r="H4" s="767">
        <v>6023</v>
      </c>
      <c r="I4" s="767">
        <v>2520</v>
      </c>
      <c r="J4" s="766" t="s">
        <v>2293</v>
      </c>
      <c r="K4" s="764">
        <v>221436</v>
      </c>
      <c r="L4" s="764">
        <v>12600</v>
      </c>
      <c r="M4" s="764">
        <f t="shared" ref="M4:M10" si="0">K4+L4</f>
        <v>234036</v>
      </c>
      <c r="N4" s="1162"/>
      <c r="O4" s="1165"/>
    </row>
    <row r="5" spans="1:15" ht="30" customHeight="1">
      <c r="A5" s="764">
        <v>3</v>
      </c>
      <c r="B5" s="765" t="s">
        <v>1829</v>
      </c>
      <c r="C5" s="767" t="s">
        <v>1825</v>
      </c>
      <c r="D5" s="767" t="s">
        <v>382</v>
      </c>
      <c r="E5" s="765" t="s">
        <v>1830</v>
      </c>
      <c r="F5" s="769">
        <v>15</v>
      </c>
      <c r="G5" s="769">
        <v>7232</v>
      </c>
      <c r="H5" s="769">
        <v>5785</v>
      </c>
      <c r="I5" s="769">
        <v>2532</v>
      </c>
      <c r="J5" s="766" t="s">
        <v>2293</v>
      </c>
      <c r="K5" s="764">
        <v>221436</v>
      </c>
      <c r="L5" s="764">
        <v>12660</v>
      </c>
      <c r="M5" s="764">
        <f t="shared" si="0"/>
        <v>234096</v>
      </c>
      <c r="N5" s="1162"/>
      <c r="O5" s="1165"/>
    </row>
    <row r="6" spans="1:15" ht="30" customHeight="1">
      <c r="A6" s="764">
        <v>4</v>
      </c>
      <c r="B6" s="766" t="s">
        <v>1831</v>
      </c>
      <c r="C6" s="767" t="s">
        <v>1825</v>
      </c>
      <c r="D6" s="767" t="s">
        <v>374</v>
      </c>
      <c r="E6" s="768" t="s">
        <v>1832</v>
      </c>
      <c r="F6" s="767">
        <v>24</v>
      </c>
      <c r="G6" s="767">
        <v>24644</v>
      </c>
      <c r="H6" s="767">
        <v>13724</v>
      </c>
      <c r="I6" s="767">
        <v>8626</v>
      </c>
      <c r="J6" s="766" t="s">
        <v>2293</v>
      </c>
      <c r="K6" s="764">
        <v>221436</v>
      </c>
      <c r="L6" s="764">
        <v>43130</v>
      </c>
      <c r="M6" s="764">
        <f t="shared" si="0"/>
        <v>264566</v>
      </c>
      <c r="N6" s="1162"/>
      <c r="O6" s="1165"/>
    </row>
    <row r="7" spans="1:15" ht="30" customHeight="1">
      <c r="A7" s="764">
        <v>5</v>
      </c>
      <c r="B7" s="766" t="s">
        <v>2294</v>
      </c>
      <c r="C7" s="767" t="s">
        <v>1825</v>
      </c>
      <c r="D7" s="767" t="s">
        <v>382</v>
      </c>
      <c r="E7" s="770" t="s">
        <v>2295</v>
      </c>
      <c r="F7" s="771">
        <v>15</v>
      </c>
      <c r="G7" s="771">
        <v>7204</v>
      </c>
      <c r="H7" s="772">
        <v>6443.61</v>
      </c>
      <c r="I7" s="772">
        <v>2523</v>
      </c>
      <c r="J7" s="768" t="s">
        <v>2296</v>
      </c>
      <c r="K7" s="764">
        <v>221436</v>
      </c>
      <c r="L7" s="764">
        <v>12615</v>
      </c>
      <c r="M7" s="764">
        <f t="shared" si="0"/>
        <v>234051</v>
      </c>
      <c r="N7" s="1162"/>
      <c r="O7" s="1165"/>
    </row>
    <row r="8" spans="1:15" ht="30" customHeight="1">
      <c r="A8" s="764">
        <v>6</v>
      </c>
      <c r="B8" s="765" t="s">
        <v>2297</v>
      </c>
      <c r="C8" s="767" t="s">
        <v>1825</v>
      </c>
      <c r="D8" s="767" t="s">
        <v>382</v>
      </c>
      <c r="E8" s="765" t="s">
        <v>2298</v>
      </c>
      <c r="F8" s="769">
        <v>15</v>
      </c>
      <c r="G8" s="769">
        <v>7200</v>
      </c>
      <c r="H8" s="769">
        <v>5760</v>
      </c>
      <c r="I8" s="769">
        <v>2520</v>
      </c>
      <c r="J8" s="768" t="s">
        <v>2299</v>
      </c>
      <c r="K8" s="764">
        <v>221436</v>
      </c>
      <c r="L8" s="764">
        <v>12600</v>
      </c>
      <c r="M8" s="764">
        <f t="shared" si="0"/>
        <v>234036</v>
      </c>
      <c r="N8" s="1162"/>
      <c r="O8" s="1165"/>
    </row>
    <row r="9" spans="1:15" ht="30" customHeight="1">
      <c r="A9" s="764">
        <v>7</v>
      </c>
      <c r="B9" s="766" t="s">
        <v>1835</v>
      </c>
      <c r="C9" s="767" t="s">
        <v>1825</v>
      </c>
      <c r="D9" s="767" t="s">
        <v>379</v>
      </c>
      <c r="E9" s="768" t="s">
        <v>1836</v>
      </c>
      <c r="F9" s="767">
        <v>30</v>
      </c>
      <c r="G9" s="767">
        <v>26608</v>
      </c>
      <c r="H9" s="767">
        <v>15747</v>
      </c>
      <c r="I9" s="767">
        <v>9443</v>
      </c>
      <c r="J9" s="766" t="s">
        <v>2300</v>
      </c>
      <c r="K9" s="764">
        <v>221436</v>
      </c>
      <c r="L9" s="764">
        <v>47215</v>
      </c>
      <c r="M9" s="764">
        <f t="shared" si="0"/>
        <v>268651</v>
      </c>
      <c r="N9" s="1162"/>
      <c r="O9" s="1165"/>
    </row>
    <row r="10" spans="1:15" ht="30" customHeight="1">
      <c r="A10" s="764">
        <v>8</v>
      </c>
      <c r="B10" s="766" t="s">
        <v>2301</v>
      </c>
      <c r="C10" s="767" t="s">
        <v>1825</v>
      </c>
      <c r="D10" s="767" t="s">
        <v>382</v>
      </c>
      <c r="E10" s="768" t="s">
        <v>2302</v>
      </c>
      <c r="F10" s="767">
        <v>15</v>
      </c>
      <c r="G10" s="767">
        <v>7122</v>
      </c>
      <c r="H10" s="767">
        <v>6172</v>
      </c>
      <c r="I10" s="767">
        <v>2494</v>
      </c>
      <c r="J10" s="768" t="s">
        <v>2303</v>
      </c>
      <c r="K10" s="764">
        <v>221436</v>
      </c>
      <c r="L10" s="764">
        <v>12470</v>
      </c>
      <c r="M10" s="764">
        <f t="shared" si="0"/>
        <v>233906</v>
      </c>
      <c r="N10" s="1163"/>
      <c r="O10" s="1166"/>
    </row>
    <row r="11" spans="1:15" s="79" customFormat="1" ht="30" customHeight="1">
      <c r="A11" s="764"/>
      <c r="B11" s="764"/>
      <c r="C11" s="764"/>
      <c r="D11" s="764"/>
      <c r="E11" s="764" t="s">
        <v>24</v>
      </c>
      <c r="F11" s="774">
        <f>SUM(F3:F10)</f>
        <v>144</v>
      </c>
      <c r="G11" s="774">
        <f>SUM(G3:G10)</f>
        <v>93808</v>
      </c>
      <c r="H11" s="774">
        <f>SUM(H3:H10)</f>
        <v>65385.61</v>
      </c>
      <c r="I11" s="774">
        <f>SUM(I3:I10)</f>
        <v>32971</v>
      </c>
      <c r="J11" s="773"/>
      <c r="K11" s="774">
        <f>SUM(K3:K10)</f>
        <v>1771488</v>
      </c>
      <c r="L11" s="774">
        <f>SUM(L3:L10)</f>
        <v>164855</v>
      </c>
      <c r="M11" s="774">
        <f>SUM(M3:M10)</f>
        <v>1936343</v>
      </c>
      <c r="N11" s="775">
        <f>SUM(N3:N10)</f>
        <v>1890427</v>
      </c>
      <c r="O11" s="775">
        <f>SUM(O3:O10)</f>
        <v>472606.75</v>
      </c>
    </row>
  </sheetData>
  <mergeCells count="3">
    <mergeCell ref="N3:N10"/>
    <mergeCell ref="O3:O10"/>
    <mergeCell ref="A1:O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53</vt:i4>
      </vt:variant>
      <vt:variant>
        <vt:lpstr>命名范围</vt:lpstr>
      </vt:variant>
      <vt:variant>
        <vt:i4>69</vt:i4>
      </vt:variant>
    </vt:vector>
  </HeadingPairs>
  <TitlesOfParts>
    <vt:vector size="122" baseType="lpstr">
      <vt:lpstr>浦江</vt:lpstr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镇管未开办保安经费</vt:lpstr>
      <vt:lpstr>浦江设备文馨学校</vt:lpstr>
      <vt:lpstr>扩班设备</vt:lpstr>
      <vt:lpstr>浦江维修2023文馨</vt:lpstr>
      <vt:lpstr>学前科补</vt:lpstr>
      <vt:lpstr>普教二科补</vt:lpstr>
      <vt:lpstr>补充公用经费补</vt:lpstr>
      <vt:lpstr>浦江基本支出调整</vt:lpstr>
      <vt:lpstr>2023年绩效预估</vt:lpstr>
      <vt:lpstr>2023尾款清算</vt:lpstr>
      <vt:lpstr>保安经费调整</vt:lpstr>
      <vt:lpstr>补充公用经费调整</vt:lpstr>
      <vt:lpstr>抚恤金调整</vt:lpstr>
      <vt:lpstr>储备教师</vt:lpstr>
      <vt:lpstr>残疾就业保障调整</vt:lpstr>
      <vt:lpstr>追加设备</vt:lpstr>
      <vt:lpstr>普教一科追加</vt:lpstr>
      <vt:lpstr>普教二科追加</vt:lpstr>
      <vt:lpstr>未开办学校物业管理（区级代管）</vt:lpstr>
      <vt:lpstr>'2022年绩效清算'!Print_Area</vt:lpstr>
      <vt:lpstr>'2022年校舍维修尾款'!Print_Area</vt:lpstr>
      <vt:lpstr>'2023年绩效预估'!Print_Area</vt:lpstr>
      <vt:lpstr>'2023尾款清算'!Print_Area</vt:lpstr>
      <vt:lpstr>保安经费调整!Print_Area</vt:lpstr>
      <vt:lpstr>补充公用经费补!Print_Area</vt:lpstr>
      <vt:lpstr>补充公用经费调整!Print_Area</vt:lpstr>
      <vt:lpstr>残疾就业保障调整!Print_Area</vt:lpstr>
      <vt:lpstr>储备教师!Print_Area</vt:lpstr>
      <vt:lpstr>抚恤金调整!Print_Area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浦江基本支出调整!Print_Area</vt:lpstr>
      <vt:lpstr>浦江设备文馨学校!Print_Area</vt:lpstr>
      <vt:lpstr>浦江维修2023!Print_Area</vt:lpstr>
      <vt:lpstr>浦江维修2023文馨!Print_Area</vt:lpstr>
      <vt:lpstr>浦江镇!Print_Area</vt:lpstr>
      <vt:lpstr>普教二科!Print_Area</vt:lpstr>
      <vt:lpstr>普教二科补!Print_Area</vt:lpstr>
      <vt:lpstr>普教二科追加!Print_Area</vt:lpstr>
      <vt:lpstr>普教一科!Print_Area</vt:lpstr>
      <vt:lpstr>普教一科追加!Print_Area</vt:lpstr>
      <vt:lpstr>七宝维修2023!Print_Area</vt:lpstr>
      <vt:lpstr>设备购置与更新!Print_Area</vt:lpstr>
      <vt:lpstr>'未开办学校物业管理（区级代管）'!Print_Area</vt:lpstr>
      <vt:lpstr>吴泾维修2023!Print_Area</vt:lpstr>
      <vt:lpstr>信息化项目!Print_Area</vt:lpstr>
      <vt:lpstr>学前科!Print_Area</vt:lpstr>
      <vt:lpstr>学前科补!Print_Area</vt:lpstr>
      <vt:lpstr>镇管未开办保安经费!Print_Area</vt:lpstr>
      <vt:lpstr>颛桥维修2023!Print_Area</vt:lpstr>
      <vt:lpstr>追加设备!Print_Area</vt:lpstr>
      <vt:lpstr>'2022年绩效清算'!Print_Titles</vt:lpstr>
      <vt:lpstr>'2023年绩效预估'!Print_Titles</vt:lpstr>
      <vt:lpstr>保安经费调整!Print_Titles</vt:lpstr>
      <vt:lpstr>补充公用经费补!Print_Titles</vt:lpstr>
      <vt:lpstr>补充公用经费调整!Print_Titles</vt:lpstr>
      <vt:lpstr>残疾就业保障调整!Print_Titles</vt:lpstr>
      <vt:lpstr>储备教师!Print_Titles</vt:lpstr>
      <vt:lpstr>抚恤金调整!Print_Titles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浦江基本支出调整!Print_Titles</vt:lpstr>
      <vt:lpstr>浦江设备文馨学校!Print_Titles</vt:lpstr>
      <vt:lpstr>浦江维修2023!Print_Titles</vt:lpstr>
      <vt:lpstr>浦江维修2023文馨!Print_Titles</vt:lpstr>
      <vt:lpstr>浦江镇!Print_Titles</vt:lpstr>
      <vt:lpstr>普教二科!Print_Titles</vt:lpstr>
      <vt:lpstr>普教二科追加!Print_Titles</vt:lpstr>
      <vt:lpstr>普教一科!Print_Titles</vt:lpstr>
      <vt:lpstr>普教一科追加!Print_Titles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  <vt:lpstr>追加设备!Print_Titles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2023-10-31T04:42:31Z</cp:lastPrinted>
  <dcterms:created xsi:type="dcterms:W3CDTF">2022-11-10T02:18:00Z</dcterms:created>
  <dcterms:modified xsi:type="dcterms:W3CDTF">2023-11-03T07:51:19Z</dcterms:modified>
</cp:coreProperties>
</file>