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80" windowHeight="12330"/>
  </bookViews>
  <sheets>
    <sheet name="颛桥镇" sheetId="54" r:id="rId1"/>
    <sheet name="颛桥基本支出" sheetId="27" state="hidden" r:id="rId2"/>
    <sheet name="2023年绩效清算" sheetId="39" state="hidden" r:id="rId3"/>
    <sheet name="残疾就业保障" sheetId="31" state="hidden" r:id="rId4"/>
    <sheet name="抚恤金" sheetId="38" state="hidden" r:id="rId5"/>
    <sheet name="社区教育" sheetId="43" state="hidden" r:id="rId6"/>
    <sheet name="补充公用经费" sheetId="32" state="hidden" r:id="rId7"/>
    <sheet name="清算补充公用经费" sheetId="41" state="hidden" r:id="rId8"/>
    <sheet name="公办义务教育减免书薄费" sheetId="36" state="hidden" r:id="rId9"/>
    <sheet name="公办义务教育资助" sheetId="35" state="hidden" r:id="rId10"/>
    <sheet name="公办义务教育营养午餐" sheetId="37" state="hidden" r:id="rId11"/>
    <sheet name="公办学前资助" sheetId="34" state="hidden" r:id="rId12"/>
    <sheet name="颛桥维修" sheetId="51" state="hidden" r:id="rId13"/>
    <sheet name="尾款清算" sheetId="44" state="hidden" r:id="rId14"/>
  </sheets>
  <externalReferences>
    <externalReference r:id="rId15"/>
    <externalReference r:id="rId16"/>
  </externalReferences>
  <definedNames>
    <definedName name="_xlnm.Print_Area" localSheetId="2">'2023年绩效清算'!$A$1:$Q$19</definedName>
    <definedName name="_xlnm.Print_Area" localSheetId="6">补充公用经费!$A$1:$AO$18</definedName>
    <definedName name="_xlnm.Print_Area" localSheetId="3">残疾就业保障!$A$1:$D$18</definedName>
    <definedName name="_xlnm.Print_Area" localSheetId="11">公办学前资助!$A$1:$N$11</definedName>
    <definedName name="_xlnm.Print_Area" localSheetId="8">公办义务教育减免书薄费!$A$1:$I$11</definedName>
    <definedName name="_xlnm.Print_Area" localSheetId="10">公办义务教育营养午餐!$A$1:$E$12</definedName>
    <definedName name="_xlnm.Print_Area" localSheetId="9">公办义务教育资助!$A$1:$L$14</definedName>
    <definedName name="_xlnm.Print_Area" localSheetId="7">清算补充公用经费!$A$1:$I$11</definedName>
    <definedName name="_xlnm.Print_Area" localSheetId="5">社区教育!$A$1:$C$3</definedName>
    <definedName name="_xlnm.Print_Area" localSheetId="13">尾款清算!$A$1:$K$19</definedName>
    <definedName name="_xlnm.Print_Area" localSheetId="1">颛桥基本支出!$A$1:$U$73</definedName>
    <definedName name="_xlnm.Print_Area" localSheetId="12">颛桥维修!$A$1:$K$79</definedName>
    <definedName name="_xlnm.Print_Titles" localSheetId="2">'2023年绩效清算'!$1:$3</definedName>
    <definedName name="_xlnm.Print_Titles" localSheetId="6">补充公用经费!$1:$3</definedName>
    <definedName name="_xlnm.Print_Titles" localSheetId="3">残疾就业保障!$1:$2</definedName>
    <definedName name="_xlnm.Print_Titles" localSheetId="11">公办学前资助!$1:$4</definedName>
    <definedName name="_xlnm.Print_Titles" localSheetId="8">公办义务教育减免书薄费!$1:$2</definedName>
    <definedName name="_xlnm.Print_Titles" localSheetId="10">公办义务教育营养午餐!$1:$2</definedName>
    <definedName name="_xlnm.Print_Titles" localSheetId="9">公办义务教育资助!$1:$4</definedName>
    <definedName name="_xlnm.Print_Titles" localSheetId="7">清算补充公用经费!$1:$2</definedName>
    <definedName name="_xlnm.Print_Titles" localSheetId="13">尾款清算!$1:$2</definedName>
    <definedName name="_xlnm.Print_Titles" localSheetId="1">颛桥基本支出!$1:$2</definedName>
    <definedName name="_xlnm.Print_Titles" localSheetId="12">颛桥维修!$1:$2</definedName>
  </definedNames>
  <calcPr calcId="124519"/>
</workbook>
</file>

<file path=xl/calcChain.xml><?xml version="1.0" encoding="utf-8"?>
<calcChain xmlns="http://schemas.openxmlformats.org/spreadsheetml/2006/main">
  <c r="C18" i="54"/>
  <c r="C16"/>
  <c r="C15"/>
  <c r="C14"/>
  <c r="C13"/>
  <c r="C12"/>
  <c r="C11"/>
  <c r="C10"/>
  <c r="C9"/>
  <c r="C7"/>
  <c r="C6"/>
  <c r="C5"/>
  <c r="C4"/>
  <c r="C8"/>
  <c r="H11" i="41" l="1"/>
  <c r="F11"/>
  <c r="D11"/>
  <c r="C11"/>
  <c r="K79" i="51" l="1"/>
  <c r="K71"/>
  <c r="K63"/>
  <c r="K50"/>
  <c r="K44"/>
  <c r="K36"/>
  <c r="K19"/>
  <c r="K10"/>
  <c r="K3"/>
  <c r="D5" i="38" l="1"/>
  <c r="J19" i="44" l="1"/>
  <c r="H19"/>
  <c r="G19"/>
  <c r="F19"/>
  <c r="E19"/>
  <c r="D19"/>
  <c r="I18"/>
  <c r="I17"/>
  <c r="I16"/>
  <c r="K16" s="1"/>
  <c r="I15"/>
  <c r="K15" s="1"/>
  <c r="K14"/>
  <c r="I14"/>
  <c r="I13"/>
  <c r="K13" s="1"/>
  <c r="I12"/>
  <c r="K12" s="1"/>
  <c r="I11"/>
  <c r="K11" s="1"/>
  <c r="I10"/>
  <c r="K10" s="1"/>
  <c r="I9"/>
  <c r="K9" s="1"/>
  <c r="K8"/>
  <c r="I8"/>
  <c r="I7"/>
  <c r="K7" s="1"/>
  <c r="K6"/>
  <c r="I6"/>
  <c r="I5"/>
  <c r="K5" s="1"/>
  <c r="I4"/>
  <c r="K4" s="1"/>
  <c r="I3"/>
  <c r="C3" i="43"/>
  <c r="I19" i="44" l="1"/>
  <c r="K3"/>
  <c r="K19" s="1"/>
  <c r="G7" i="41"/>
  <c r="I7" s="1"/>
  <c r="E4" l="1"/>
  <c r="G4" s="1"/>
  <c r="I4" s="1"/>
  <c r="E5"/>
  <c r="G5" s="1"/>
  <c r="I5" s="1"/>
  <c r="E6"/>
  <c r="G6" s="1"/>
  <c r="I6" s="1"/>
  <c r="E8"/>
  <c r="G8" s="1"/>
  <c r="I8" s="1"/>
  <c r="E9"/>
  <c r="G9" s="1"/>
  <c r="I9" s="1"/>
  <c r="E10"/>
  <c r="G10" s="1"/>
  <c r="I10" s="1"/>
  <c r="E3"/>
  <c r="G3" l="1"/>
  <c r="E11"/>
  <c r="R19" i="27"/>
  <c r="O19"/>
  <c r="F19"/>
  <c r="G19"/>
  <c r="H19"/>
  <c r="I19"/>
  <c r="J19"/>
  <c r="E19"/>
  <c r="AD4" i="32"/>
  <c r="AD5"/>
  <c r="AD6"/>
  <c r="AD7"/>
  <c r="AD8"/>
  <c r="AD9"/>
  <c r="AD10"/>
  <c r="AD11"/>
  <c r="AD12"/>
  <c r="AD13"/>
  <c r="AD14"/>
  <c r="AD15"/>
  <c r="AD16"/>
  <c r="AD17"/>
  <c r="I3" i="41" l="1"/>
  <c r="G11"/>
  <c r="AD18" i="32"/>
  <c r="L19" i="39"/>
  <c r="K19"/>
  <c r="J19"/>
  <c r="H19"/>
  <c r="G19"/>
  <c r="P18"/>
  <c r="O18"/>
  <c r="N18"/>
  <c r="M18"/>
  <c r="I18"/>
  <c r="P17"/>
  <c r="O17"/>
  <c r="N17"/>
  <c r="M17"/>
  <c r="I17"/>
  <c r="P16"/>
  <c r="O16"/>
  <c r="N16"/>
  <c r="M16"/>
  <c r="I16"/>
  <c r="P15"/>
  <c r="O15"/>
  <c r="N15"/>
  <c r="M15"/>
  <c r="I15"/>
  <c r="P14"/>
  <c r="O14"/>
  <c r="N14"/>
  <c r="M14"/>
  <c r="I14"/>
  <c r="P13"/>
  <c r="O13"/>
  <c r="N13"/>
  <c r="M13"/>
  <c r="I13"/>
  <c r="P12"/>
  <c r="O12"/>
  <c r="N12"/>
  <c r="M12"/>
  <c r="I12"/>
  <c r="P11"/>
  <c r="O11"/>
  <c r="N11"/>
  <c r="M11"/>
  <c r="I11"/>
  <c r="P10"/>
  <c r="O10"/>
  <c r="N10"/>
  <c r="M10"/>
  <c r="I10"/>
  <c r="P9"/>
  <c r="O9"/>
  <c r="N9"/>
  <c r="M9"/>
  <c r="I9"/>
  <c r="P8"/>
  <c r="O8"/>
  <c r="N8"/>
  <c r="M8"/>
  <c r="I8"/>
  <c r="F19"/>
  <c r="P7"/>
  <c r="O7"/>
  <c r="N7"/>
  <c r="M7"/>
  <c r="I7"/>
  <c r="P6"/>
  <c r="O6"/>
  <c r="N6"/>
  <c r="M6"/>
  <c r="I6"/>
  <c r="P5"/>
  <c r="O5"/>
  <c r="N5"/>
  <c r="M5"/>
  <c r="I5"/>
  <c r="P4"/>
  <c r="O4"/>
  <c r="N4"/>
  <c r="M4"/>
  <c r="I4"/>
  <c r="I11" i="41" l="1"/>
  <c r="Q9" i="39"/>
  <c r="Q13"/>
  <c r="Q11"/>
  <c r="Q15"/>
  <c r="Q4"/>
  <c r="Q6"/>
  <c r="O19"/>
  <c r="N19"/>
  <c r="Q10"/>
  <c r="Q14"/>
  <c r="Q18"/>
  <c r="Q17"/>
  <c r="Q8"/>
  <c r="Q12"/>
  <c r="Q16"/>
  <c r="I19"/>
  <c r="P19"/>
  <c r="Q7"/>
  <c r="Q5"/>
  <c r="M19"/>
  <c r="T73" i="27"/>
  <c r="K73"/>
  <c r="T72" s="1"/>
  <c r="S72"/>
  <c r="K72"/>
  <c r="T71"/>
  <c r="T70"/>
  <c r="T69"/>
  <c r="T68"/>
  <c r="T67"/>
  <c r="T66" s="1"/>
  <c r="S66"/>
  <c r="R66"/>
  <c r="Q66"/>
  <c r="P66"/>
  <c r="O66"/>
  <c r="N66"/>
  <c r="M66"/>
  <c r="L66"/>
  <c r="K66"/>
  <c r="J66"/>
  <c r="I66"/>
  <c r="H66"/>
  <c r="G66"/>
  <c r="F66"/>
  <c r="E66"/>
  <c r="T65"/>
  <c r="T64"/>
  <c r="T63"/>
  <c r="T62"/>
  <c r="T61" s="1"/>
  <c r="S61"/>
  <c r="R61"/>
  <c r="Q61"/>
  <c r="P61"/>
  <c r="O61"/>
  <c r="N61"/>
  <c r="M61"/>
  <c r="L61"/>
  <c r="K61"/>
  <c r="J61"/>
  <c r="I61"/>
  <c r="H61"/>
  <c r="G61"/>
  <c r="F61"/>
  <c r="E61"/>
  <c r="T60"/>
  <c r="T59"/>
  <c r="T58" s="1"/>
  <c r="S58"/>
  <c r="R58"/>
  <c r="Q58"/>
  <c r="P58"/>
  <c r="O58"/>
  <c r="N58"/>
  <c r="M58"/>
  <c r="L58"/>
  <c r="K58"/>
  <c r="J58"/>
  <c r="I58"/>
  <c r="H58"/>
  <c r="G58"/>
  <c r="F58"/>
  <c r="E58"/>
  <c r="T57"/>
  <c r="T56" s="1"/>
  <c r="S56"/>
  <c r="R56"/>
  <c r="Q56"/>
  <c r="P56"/>
  <c r="O56"/>
  <c r="N56"/>
  <c r="M56"/>
  <c r="L56"/>
  <c r="K56"/>
  <c r="J56"/>
  <c r="I56"/>
  <c r="H56"/>
  <c r="G56"/>
  <c r="F56"/>
  <c r="E56"/>
  <c r="T55" s="1"/>
  <c r="S55"/>
  <c r="R55"/>
  <c r="Q55"/>
  <c r="P55"/>
  <c r="O55"/>
  <c r="N55"/>
  <c r="M55"/>
  <c r="L55"/>
  <c r="K55"/>
  <c r="J55"/>
  <c r="I55"/>
  <c r="H55"/>
  <c r="G55"/>
  <c r="F55"/>
  <c r="E55"/>
  <c r="T54" s="1"/>
  <c r="S54"/>
  <c r="R54"/>
  <c r="Q54"/>
  <c r="P54"/>
  <c r="O54"/>
  <c r="N54"/>
  <c r="M54"/>
  <c r="L54"/>
  <c r="K54"/>
  <c r="J54"/>
  <c r="I54"/>
  <c r="H54"/>
  <c r="G54"/>
  <c r="F54"/>
  <c r="E54"/>
  <c r="T53"/>
  <c r="T52" s="1"/>
  <c r="S52"/>
  <c r="R52"/>
  <c r="Q52"/>
  <c r="P52"/>
  <c r="O52"/>
  <c r="N52"/>
  <c r="M52"/>
  <c r="L52"/>
  <c r="K52"/>
  <c r="J52"/>
  <c r="I52"/>
  <c r="H52"/>
  <c r="G52"/>
  <c r="F52"/>
  <c r="E52"/>
  <c r="T51"/>
  <c r="S51"/>
  <c r="R51"/>
  <c r="Q51"/>
  <c r="P51"/>
  <c r="O51"/>
  <c r="N51"/>
  <c r="M51"/>
  <c r="L51"/>
  <c r="K51"/>
  <c r="J51"/>
  <c r="I51"/>
  <c r="H51"/>
  <c r="G51"/>
  <c r="F51"/>
  <c r="E51"/>
  <c r="T50"/>
  <c r="S50"/>
  <c r="R50"/>
  <c r="Q50"/>
  <c r="P50"/>
  <c r="O50"/>
  <c r="N50"/>
  <c r="M50"/>
  <c r="L50"/>
  <c r="K50"/>
  <c r="J50" s="1"/>
  <c r="I50"/>
  <c r="H50"/>
  <c r="G50"/>
  <c r="F50"/>
  <c r="E50"/>
  <c r="T49" s="1"/>
  <c r="S49"/>
  <c r="R49"/>
  <c r="Q49"/>
  <c r="P49"/>
  <c r="O49"/>
  <c r="N49"/>
  <c r="M49"/>
  <c r="L49"/>
  <c r="K49"/>
  <c r="J49"/>
  <c r="I49"/>
  <c r="H49"/>
  <c r="G49"/>
  <c r="F49"/>
  <c r="E49"/>
  <c r="T48" s="1"/>
  <c r="S48"/>
  <c r="R48"/>
  <c r="Q48"/>
  <c r="P48"/>
  <c r="O48"/>
  <c r="N48"/>
  <c r="M48"/>
  <c r="L48"/>
  <c r="K48"/>
  <c r="J48"/>
  <c r="I48"/>
  <c r="H48"/>
  <c r="G48"/>
  <c r="F48"/>
  <c r="E48"/>
  <c r="T47" s="1"/>
  <c r="S47"/>
  <c r="R47"/>
  <c r="Q47"/>
  <c r="P47"/>
  <c r="O47"/>
  <c r="N47"/>
  <c r="M47"/>
  <c r="L47"/>
  <c r="K47"/>
  <c r="J47"/>
  <c r="I47"/>
  <c r="H47"/>
  <c r="G47"/>
  <c r="F47"/>
  <c r="E47"/>
  <c r="T46" s="1"/>
  <c r="S46"/>
  <c r="R46"/>
  <c r="Q46"/>
  <c r="P46"/>
  <c r="O46"/>
  <c r="N46"/>
  <c r="M46"/>
  <c r="L46"/>
  <c r="K46"/>
  <c r="J46"/>
  <c r="I46"/>
  <c r="H46"/>
  <c r="G46"/>
  <c r="F46"/>
  <c r="E46"/>
  <c r="T45" s="1"/>
  <c r="S45"/>
  <c r="R45"/>
  <c r="Q45"/>
  <c r="P45"/>
  <c r="O45"/>
  <c r="N45"/>
  <c r="M45"/>
  <c r="L45"/>
  <c r="K45"/>
  <c r="J45"/>
  <c r="I45"/>
  <c r="H45"/>
  <c r="G45"/>
  <c r="F45"/>
  <c r="E45"/>
  <c r="T44" s="1"/>
  <c r="S44"/>
  <c r="R44"/>
  <c r="Q44"/>
  <c r="P44"/>
  <c r="O44"/>
  <c r="N44"/>
  <c r="M44"/>
  <c r="L44"/>
  <c r="K44"/>
  <c r="J44"/>
  <c r="I44"/>
  <c r="H44"/>
  <c r="G44"/>
  <c r="F44"/>
  <c r="E44"/>
  <c r="T43" s="1"/>
  <c r="S43"/>
  <c r="R43"/>
  <c r="Q43"/>
  <c r="P43"/>
  <c r="O43"/>
  <c r="N43"/>
  <c r="M43"/>
  <c r="L43"/>
  <c r="K43"/>
  <c r="J43"/>
  <c r="I43"/>
  <c r="H43"/>
  <c r="G43"/>
  <c r="F43"/>
  <c r="E43"/>
  <c r="T42" s="1"/>
  <c r="S42"/>
  <c r="R42"/>
  <c r="Q42"/>
  <c r="P42"/>
  <c r="O42"/>
  <c r="N42"/>
  <c r="M42"/>
  <c r="L42"/>
  <c r="K42"/>
  <c r="J42"/>
  <c r="I42"/>
  <c r="H42"/>
  <c r="G42"/>
  <c r="F42"/>
  <c r="E42"/>
  <c r="T41" s="1"/>
  <c r="S41"/>
  <c r="R41"/>
  <c r="Q41"/>
  <c r="P41"/>
  <c r="O41"/>
  <c r="N41"/>
  <c r="M41"/>
  <c r="L41"/>
  <c r="K41"/>
  <c r="J41"/>
  <c r="I41"/>
  <c r="H41"/>
  <c r="G41"/>
  <c r="F41"/>
  <c r="E41"/>
  <c r="Q40"/>
  <c r="L40"/>
  <c r="Q39"/>
  <c r="P39"/>
  <c r="L39"/>
  <c r="T39" s="1"/>
  <c r="R38"/>
  <c r="N38"/>
  <c r="M38" s="1"/>
  <c r="H38"/>
  <c r="G38"/>
  <c r="F38"/>
  <c r="E38" s="1"/>
  <c r="T37"/>
  <c r="T36" s="1"/>
  <c r="S36"/>
  <c r="R36"/>
  <c r="Q36"/>
  <c r="P36"/>
  <c r="O36"/>
  <c r="N36"/>
  <c r="M36"/>
  <c r="L36"/>
  <c r="K36"/>
  <c r="J36"/>
  <c r="I36"/>
  <c r="H36"/>
  <c r="G36"/>
  <c r="F36"/>
  <c r="E36"/>
  <c r="T35" s="1"/>
  <c r="R35"/>
  <c r="T34"/>
  <c r="S34"/>
  <c r="R34"/>
  <c r="Q34"/>
  <c r="P34"/>
  <c r="O34"/>
  <c r="N34"/>
  <c r="M34"/>
  <c r="L34"/>
  <c r="K34"/>
  <c r="J34"/>
  <c r="I34"/>
  <c r="H34"/>
  <c r="G34"/>
  <c r="F34"/>
  <c r="E34"/>
  <c r="T33"/>
  <c r="T32" s="1"/>
  <c r="S32"/>
  <c r="R32"/>
  <c r="Q32"/>
  <c r="P32"/>
  <c r="O32"/>
  <c r="N32"/>
  <c r="M32"/>
  <c r="L32"/>
  <c r="K32"/>
  <c r="J32"/>
  <c r="I32"/>
  <c r="H32"/>
  <c r="G32"/>
  <c r="F32"/>
  <c r="E32"/>
  <c r="T31"/>
  <c r="S31" s="1"/>
  <c r="R31" s="1"/>
  <c r="Q31" s="1"/>
  <c r="P31" s="1"/>
  <c r="O31" s="1"/>
  <c r="N31"/>
  <c r="M31" s="1"/>
  <c r="L31" s="1"/>
  <c r="K31" s="1"/>
  <c r="J31"/>
  <c r="I31" s="1"/>
  <c r="H31" s="1"/>
  <c r="G31"/>
  <c r="F31"/>
  <c r="E31"/>
  <c r="T30"/>
  <c r="T29" s="1"/>
  <c r="J29"/>
  <c r="T28"/>
  <c r="S28"/>
  <c r="R28"/>
  <c r="Q28"/>
  <c r="P28"/>
  <c r="O28"/>
  <c r="N28"/>
  <c r="M28"/>
  <c r="L28"/>
  <c r="K28"/>
  <c r="J28"/>
  <c r="I28"/>
  <c r="H28"/>
  <c r="G28"/>
  <c r="F28"/>
  <c r="E28"/>
  <c r="T27"/>
  <c r="S27"/>
  <c r="R27"/>
  <c r="Q27"/>
  <c r="P27"/>
  <c r="O27"/>
  <c r="N27"/>
  <c r="M27"/>
  <c r="L27"/>
  <c r="K27"/>
  <c r="J27" s="1"/>
  <c r="I27"/>
  <c r="H27"/>
  <c r="G27"/>
  <c r="F27"/>
  <c r="E27"/>
  <c r="T26"/>
  <c r="S26"/>
  <c r="R26"/>
  <c r="Q26"/>
  <c r="P26"/>
  <c r="O26"/>
  <c r="N26"/>
  <c r="M26"/>
  <c r="L26"/>
  <c r="K26"/>
  <c r="J26"/>
  <c r="I26"/>
  <c r="H26"/>
  <c r="G26"/>
  <c r="F26"/>
  <c r="E26"/>
  <c r="T25"/>
  <c r="S25"/>
  <c r="R25"/>
  <c r="Q25"/>
  <c r="P25"/>
  <c r="O25"/>
  <c r="N25"/>
  <c r="M25"/>
  <c r="L25"/>
  <c r="K25"/>
  <c r="J25" s="1"/>
  <c r="I25"/>
  <c r="H25"/>
  <c r="G25"/>
  <c r="F25"/>
  <c r="E25"/>
  <c r="T24"/>
  <c r="S24"/>
  <c r="R24"/>
  <c r="Q24"/>
  <c r="P24"/>
  <c r="O24"/>
  <c r="N24"/>
  <c r="M24"/>
  <c r="L24"/>
  <c r="K24"/>
  <c r="J24"/>
  <c r="I24"/>
  <c r="H24"/>
  <c r="G24"/>
  <c r="F24"/>
  <c r="E24"/>
  <c r="T23"/>
  <c r="S23"/>
  <c r="R23"/>
  <c r="Q23"/>
  <c r="P23"/>
  <c r="O23"/>
  <c r="N23"/>
  <c r="M23"/>
  <c r="L23"/>
  <c r="K23"/>
  <c r="J23"/>
  <c r="I23"/>
  <c r="H23"/>
  <c r="G23"/>
  <c r="F23"/>
  <c r="E23"/>
  <c r="T22" s="1"/>
  <c r="S22"/>
  <c r="R22"/>
  <c r="Q22"/>
  <c r="P22"/>
  <c r="O22"/>
  <c r="N22"/>
  <c r="M22"/>
  <c r="L22"/>
  <c r="K22"/>
  <c r="J22" s="1"/>
  <c r="I22"/>
  <c r="H22"/>
  <c r="G22"/>
  <c r="F22"/>
  <c r="E22"/>
  <c r="T21"/>
  <c r="S21"/>
  <c r="R21"/>
  <c r="Q21"/>
  <c r="P21"/>
  <c r="O21"/>
  <c r="N21"/>
  <c r="M21"/>
  <c r="L21"/>
  <c r="K21"/>
  <c r="J21"/>
  <c r="I21"/>
  <c r="H21"/>
  <c r="G21"/>
  <c r="F21"/>
  <c r="E21"/>
  <c r="T20" s="1"/>
  <c r="S20"/>
  <c r="R20"/>
  <c r="Q20"/>
  <c r="P20"/>
  <c r="O20"/>
  <c r="N20"/>
  <c r="M20"/>
  <c r="L20"/>
  <c r="K20"/>
  <c r="J20"/>
  <c r="I20"/>
  <c r="H20"/>
  <c r="G20"/>
  <c r="F20"/>
  <c r="E20"/>
  <c r="T19"/>
  <c r="T18" s="1"/>
  <c r="S18"/>
  <c r="R18"/>
  <c r="Q18"/>
  <c r="P18"/>
  <c r="O18"/>
  <c r="N18"/>
  <c r="M18"/>
  <c r="L18"/>
  <c r="K18"/>
  <c r="J18"/>
  <c r="I18"/>
  <c r="H18"/>
  <c r="G18"/>
  <c r="F18"/>
  <c r="E18"/>
  <c r="T17"/>
  <c r="T16"/>
  <c r="Q15"/>
  <c r="P15"/>
  <c r="O15" s="1"/>
  <c r="N15" s="1"/>
  <c r="M15"/>
  <c r="L15"/>
  <c r="K15" s="1"/>
  <c r="J15" s="1"/>
  <c r="I15"/>
  <c r="H15"/>
  <c r="G15" s="1"/>
  <c r="F15"/>
  <c r="E15"/>
  <c r="T14" s="1"/>
  <c r="S14"/>
  <c r="R14"/>
  <c r="Q14"/>
  <c r="P14"/>
  <c r="O14"/>
  <c r="N14"/>
  <c r="M14"/>
  <c r="L14"/>
  <c r="K14"/>
  <c r="J14"/>
  <c r="I14"/>
  <c r="H14"/>
  <c r="G14"/>
  <c r="F14"/>
  <c r="E14"/>
  <c r="T13"/>
  <c r="S13"/>
  <c r="R13"/>
  <c r="Q13"/>
  <c r="P13"/>
  <c r="O13"/>
  <c r="N13"/>
  <c r="M13"/>
  <c r="L13"/>
  <c r="K13"/>
  <c r="J13"/>
  <c r="I13"/>
  <c r="H13"/>
  <c r="G13"/>
  <c r="F13"/>
  <c r="E13"/>
  <c r="T12"/>
  <c r="S12"/>
  <c r="R12"/>
  <c r="Q12"/>
  <c r="P12"/>
  <c r="O12"/>
  <c r="N12"/>
  <c r="M12"/>
  <c r="L12"/>
  <c r="K12"/>
  <c r="J12"/>
  <c r="I12"/>
  <c r="H12"/>
  <c r="G12"/>
  <c r="F12"/>
  <c r="E12"/>
  <c r="T11" s="1"/>
  <c r="S11"/>
  <c r="R11"/>
  <c r="Q11"/>
  <c r="P11"/>
  <c r="O11"/>
  <c r="N11"/>
  <c r="M11"/>
  <c r="L11"/>
  <c r="K11"/>
  <c r="J11"/>
  <c r="I11"/>
  <c r="H11"/>
  <c r="G11"/>
  <c r="F11"/>
  <c r="E11"/>
  <c r="T10" s="1"/>
  <c r="S10"/>
  <c r="R10"/>
  <c r="Q10"/>
  <c r="P10"/>
  <c r="O10"/>
  <c r="N10"/>
  <c r="M10"/>
  <c r="L10"/>
  <c r="K10"/>
  <c r="J10"/>
  <c r="I10"/>
  <c r="H10"/>
  <c r="G10"/>
  <c r="F10"/>
  <c r="E10"/>
  <c r="T9" s="1"/>
  <c r="S9"/>
  <c r="R9"/>
  <c r="Q9"/>
  <c r="P9"/>
  <c r="O9"/>
  <c r="N9"/>
  <c r="M9"/>
  <c r="L9"/>
  <c r="K9"/>
  <c r="J9"/>
  <c r="I9"/>
  <c r="H9"/>
  <c r="G9"/>
  <c r="F9"/>
  <c r="E9"/>
  <c r="T8" s="1"/>
  <c r="S8"/>
  <c r="R8"/>
  <c r="Q8"/>
  <c r="P8"/>
  <c r="O8"/>
  <c r="N8"/>
  <c r="M8"/>
  <c r="L8"/>
  <c r="K8"/>
  <c r="J8"/>
  <c r="I8"/>
  <c r="H8"/>
  <c r="G8"/>
  <c r="F8"/>
  <c r="E8"/>
  <c r="T7" s="1"/>
  <c r="S7"/>
  <c r="R7"/>
  <c r="Q7"/>
  <c r="P7"/>
  <c r="N7"/>
  <c r="M7"/>
  <c r="L7"/>
  <c r="K7"/>
  <c r="J7"/>
  <c r="I7"/>
  <c r="H7"/>
  <c r="G7"/>
  <c r="F7"/>
  <c r="E7"/>
  <c r="T6" s="1"/>
  <c r="S6"/>
  <c r="R6"/>
  <c r="Q6"/>
  <c r="P6"/>
  <c r="O6"/>
  <c r="N6"/>
  <c r="M6"/>
  <c r="L6"/>
  <c r="K6"/>
  <c r="J6"/>
  <c r="I6"/>
  <c r="H6"/>
  <c r="G6"/>
  <c r="F6"/>
  <c r="E6"/>
  <c r="L38" l="1"/>
  <c r="K38" s="1"/>
  <c r="J38" s="1"/>
  <c r="I38" s="1"/>
  <c r="T40"/>
  <c r="Q38"/>
  <c r="P38" s="1"/>
  <c r="O38" s="1"/>
  <c r="Q19" i="39"/>
  <c r="T5" i="27"/>
  <c r="S5"/>
  <c r="R5"/>
  <c r="Q5"/>
  <c r="P5"/>
  <c r="O5"/>
  <c r="N5"/>
  <c r="M5"/>
  <c r="L5"/>
  <c r="K5"/>
  <c r="J5"/>
  <c r="I5"/>
  <c r="H5"/>
  <c r="G5"/>
  <c r="F5"/>
  <c r="E5"/>
  <c r="P4"/>
  <c r="O4"/>
  <c r="N4" s="1"/>
  <c r="M4" s="1"/>
  <c r="L4"/>
  <c r="K4" s="1"/>
  <c r="J4"/>
  <c r="I4" s="1"/>
  <c r="H4"/>
  <c r="G4" s="1"/>
  <c r="F4"/>
  <c r="E4" s="1"/>
  <c r="L3"/>
  <c r="K3" s="1"/>
  <c r="F3"/>
  <c r="E3"/>
  <c r="J3" l="1"/>
  <c r="I3" s="1"/>
  <c r="H3"/>
  <c r="G3" s="1"/>
  <c r="L11" i="34" l="1"/>
  <c r="K11"/>
  <c r="J11"/>
  <c r="I11"/>
  <c r="H11"/>
  <c r="G11"/>
  <c r="F11"/>
  <c r="E11"/>
  <c r="D11"/>
  <c r="M10"/>
  <c r="N9"/>
  <c r="M9"/>
  <c r="M8"/>
  <c r="M7"/>
  <c r="N7" s="1"/>
  <c r="M6"/>
  <c r="N6" s="1"/>
  <c r="M5"/>
  <c r="N5" s="1"/>
  <c r="E11" i="37"/>
  <c r="E10"/>
  <c r="E9"/>
  <c r="E8"/>
  <c r="D7"/>
  <c r="D12" s="1"/>
  <c r="E6"/>
  <c r="E5"/>
  <c r="E4"/>
  <c r="E3"/>
  <c r="J14" i="35"/>
  <c r="I14"/>
  <c r="H14"/>
  <c r="G14"/>
  <c r="F14"/>
  <c r="E14"/>
  <c r="D14"/>
  <c r="K13"/>
  <c r="L13" s="1"/>
  <c r="K12"/>
  <c r="L12" s="1"/>
  <c r="K11"/>
  <c r="L11" s="1"/>
  <c r="K10"/>
  <c r="L10" s="1"/>
  <c r="K9"/>
  <c r="L9" s="1"/>
  <c r="K8"/>
  <c r="L8" s="1"/>
  <c r="K7"/>
  <c r="L7" s="1"/>
  <c r="K6"/>
  <c r="L6" s="1"/>
  <c r="K5"/>
  <c r="L5" s="1"/>
  <c r="F11" i="36"/>
  <c r="E11"/>
  <c r="H10"/>
  <c r="G10"/>
  <c r="I10" s="1"/>
  <c r="H9"/>
  <c r="G9"/>
  <c r="H8"/>
  <c r="G8"/>
  <c r="H7"/>
  <c r="G7"/>
  <c r="H6"/>
  <c r="G6"/>
  <c r="I6" s="1"/>
  <c r="H5"/>
  <c r="I5" s="1"/>
  <c r="G5"/>
  <c r="H4"/>
  <c r="G4"/>
  <c r="I3"/>
  <c r="H3"/>
  <c r="G3"/>
  <c r="N8" i="34" l="1"/>
  <c r="N11"/>
  <c r="M11" s="1"/>
  <c r="N10"/>
  <c r="E7" i="37"/>
  <c r="E12" s="1"/>
  <c r="L14" i="35"/>
  <c r="K14" s="1"/>
  <c r="I8" i="36"/>
  <c r="I4"/>
  <c r="I7"/>
  <c r="I9"/>
  <c r="I11" s="1"/>
  <c r="H11" s="1"/>
  <c r="G11" s="1"/>
  <c r="AM18" i="32"/>
  <c r="AB18"/>
  <c r="AA18"/>
  <c r="Z18"/>
  <c r="Y18"/>
  <c r="W18"/>
  <c r="V18"/>
  <c r="U18"/>
  <c r="T18"/>
  <c r="M18"/>
  <c r="L18"/>
  <c r="K18"/>
  <c r="J18"/>
  <c r="H18"/>
  <c r="G18"/>
  <c r="F18"/>
  <c r="E18"/>
  <c r="D18"/>
  <c r="AJ17"/>
  <c r="AC17"/>
  <c r="AL17" s="1"/>
  <c r="X17"/>
  <c r="R17"/>
  <c r="Q17"/>
  <c r="P17"/>
  <c r="O17"/>
  <c r="N17"/>
  <c r="I17"/>
  <c r="AJ16"/>
  <c r="AE16"/>
  <c r="AC16"/>
  <c r="AL16" s="1"/>
  <c r="X16"/>
  <c r="R16"/>
  <c r="Q16"/>
  <c r="P16"/>
  <c r="O16"/>
  <c r="N16"/>
  <c r="I16"/>
  <c r="AJ15"/>
  <c r="AC15"/>
  <c r="AL15" s="1"/>
  <c r="X15"/>
  <c r="R15"/>
  <c r="Q15"/>
  <c r="P15"/>
  <c r="O15"/>
  <c r="N15"/>
  <c r="I15"/>
  <c r="AJ14"/>
  <c r="AC14"/>
  <c r="AL14" s="1"/>
  <c r="X14"/>
  <c r="R14"/>
  <c r="Q14"/>
  <c r="P14"/>
  <c r="O14"/>
  <c r="N14"/>
  <c r="I14"/>
  <c r="AJ13"/>
  <c r="AC13"/>
  <c r="AL13" s="1"/>
  <c r="X13"/>
  <c r="R13"/>
  <c r="Q13"/>
  <c r="P13"/>
  <c r="O13"/>
  <c r="N13"/>
  <c r="I13"/>
  <c r="AJ12"/>
  <c r="AC12"/>
  <c r="AL12" s="1"/>
  <c r="X12"/>
  <c r="R12"/>
  <c r="Q12"/>
  <c r="P12"/>
  <c r="O12"/>
  <c r="N12"/>
  <c r="I12"/>
  <c r="AJ11"/>
  <c r="AC11"/>
  <c r="AL11" s="1"/>
  <c r="X11"/>
  <c r="R11"/>
  <c r="Q11"/>
  <c r="P11"/>
  <c r="O11"/>
  <c r="N11"/>
  <c r="I11"/>
  <c r="AJ10"/>
  <c r="AC10"/>
  <c r="AL10" s="1"/>
  <c r="X10"/>
  <c r="R10"/>
  <c r="Q10"/>
  <c r="P10"/>
  <c r="O10"/>
  <c r="N10"/>
  <c r="I10"/>
  <c r="AK9"/>
  <c r="AJ9"/>
  <c r="AE9"/>
  <c r="AC9"/>
  <c r="AL9" s="1"/>
  <c r="X9"/>
  <c r="R9"/>
  <c r="Q9"/>
  <c r="P9"/>
  <c r="O9"/>
  <c r="N9"/>
  <c r="I9"/>
  <c r="AJ8"/>
  <c r="AC8"/>
  <c r="AL8" s="1"/>
  <c r="X8"/>
  <c r="R8"/>
  <c r="Q8"/>
  <c r="P8"/>
  <c r="O8"/>
  <c r="N8"/>
  <c r="I8"/>
  <c r="AJ7"/>
  <c r="AG7"/>
  <c r="AF7" s="1"/>
  <c r="AC7"/>
  <c r="AL7" s="1"/>
  <c r="X7"/>
  <c r="R7"/>
  <c r="Q7"/>
  <c r="P7"/>
  <c r="O7"/>
  <c r="N7"/>
  <c r="I7"/>
  <c r="AJ6"/>
  <c r="AC6"/>
  <c r="AL6" s="1"/>
  <c r="X6"/>
  <c r="R6"/>
  <c r="Q6"/>
  <c r="P6"/>
  <c r="O6"/>
  <c r="S6" s="1"/>
  <c r="N6"/>
  <c r="I6"/>
  <c r="AJ5"/>
  <c r="AC5"/>
  <c r="AL5" s="1"/>
  <c r="X5"/>
  <c r="R5"/>
  <c r="Q5"/>
  <c r="P5"/>
  <c r="O5"/>
  <c r="N5"/>
  <c r="I5"/>
  <c r="AJ4"/>
  <c r="AC4"/>
  <c r="AL4" s="1"/>
  <c r="X4"/>
  <c r="R4"/>
  <c r="Q4"/>
  <c r="P4"/>
  <c r="O4"/>
  <c r="N4"/>
  <c r="I4"/>
  <c r="AI16" l="1"/>
  <c r="AF8"/>
  <c r="AF13"/>
  <c r="S4"/>
  <c r="X18"/>
  <c r="AH7"/>
  <c r="AI4"/>
  <c r="AE7"/>
  <c r="AK7"/>
  <c r="S16"/>
  <c r="AK8"/>
  <c r="S11"/>
  <c r="S12"/>
  <c r="AK13"/>
  <c r="S15"/>
  <c r="S17"/>
  <c r="S5"/>
  <c r="I18"/>
  <c r="Q18"/>
  <c r="AE4"/>
  <c r="S8"/>
  <c r="S9"/>
  <c r="AG9"/>
  <c r="AG10"/>
  <c r="AH11"/>
  <c r="AG12"/>
  <c r="S13"/>
  <c r="AG8"/>
  <c r="AF9"/>
  <c r="AF10"/>
  <c r="AG11"/>
  <c r="AF11" s="1"/>
  <c r="AF12"/>
  <c r="AG13"/>
  <c r="AK10"/>
  <c r="AK11"/>
  <c r="P18"/>
  <c r="AI5"/>
  <c r="AH5" s="1"/>
  <c r="AH6"/>
  <c r="S10"/>
  <c r="AH14"/>
  <c r="AI15"/>
  <c r="AI17"/>
  <c r="AH17" s="1"/>
  <c r="AL18"/>
  <c r="AH4"/>
  <c r="AG5"/>
  <c r="AG6"/>
  <c r="S14"/>
  <c r="AG14"/>
  <c r="AH15"/>
  <c r="AH16"/>
  <c r="AG17"/>
  <c r="AG4"/>
  <c r="AK4"/>
  <c r="AF5"/>
  <c r="AK5"/>
  <c r="AF6"/>
  <c r="AK6"/>
  <c r="AI7"/>
  <c r="AE8"/>
  <c r="AI8"/>
  <c r="AI9"/>
  <c r="AH9" s="1"/>
  <c r="AN9" s="1"/>
  <c r="AE10"/>
  <c r="AI10"/>
  <c r="AE11"/>
  <c r="AE12"/>
  <c r="AI12"/>
  <c r="AE13"/>
  <c r="AF14"/>
  <c r="AK14"/>
  <c r="AG15"/>
  <c r="AF15" s="1"/>
  <c r="AK15"/>
  <c r="AG16"/>
  <c r="AK16"/>
  <c r="AF17"/>
  <c r="AK17"/>
  <c r="O18"/>
  <c r="AF4"/>
  <c r="AE5"/>
  <c r="AE6"/>
  <c r="AI6"/>
  <c r="S7"/>
  <c r="S18" s="1"/>
  <c r="AH8"/>
  <c r="AH10"/>
  <c r="AI11"/>
  <c r="AH12"/>
  <c r="AI13"/>
  <c r="AH13" s="1"/>
  <c r="AE14"/>
  <c r="AI14"/>
  <c r="AE15"/>
  <c r="AF16"/>
  <c r="AE17"/>
  <c r="AC18"/>
  <c r="AN16" l="1"/>
  <c r="AN17"/>
  <c r="AF18"/>
  <c r="AN5"/>
  <c r="R18"/>
  <c r="N18"/>
  <c r="AN14"/>
  <c r="AN11"/>
  <c r="AG18"/>
  <c r="AE18"/>
  <c r="AN10"/>
  <c r="AH18"/>
  <c r="AN13"/>
  <c r="AN8"/>
  <c r="AN4"/>
  <c r="AI18"/>
  <c r="C18" i="31" l="1"/>
  <c r="D17"/>
  <c r="D16"/>
  <c r="D15"/>
  <c r="D14"/>
  <c r="D13"/>
  <c r="D12"/>
  <c r="D11"/>
  <c r="D10"/>
  <c r="D9"/>
  <c r="D8"/>
  <c r="D7"/>
  <c r="D6"/>
  <c r="D5"/>
  <c r="D4"/>
  <c r="D3"/>
  <c r="D18" s="1"/>
  <c r="O3" i="27" l="1"/>
  <c r="Q3"/>
  <c r="P3"/>
  <c r="N3"/>
  <c r="M3"/>
  <c r="S38"/>
  <c r="T38"/>
  <c r="S3"/>
  <c r="AO4" i="32"/>
  <c r="AO5"/>
  <c r="AN6"/>
  <c r="AO6" s="1"/>
  <c r="AN7"/>
  <c r="AO7" s="1"/>
  <c r="AO8"/>
  <c r="AO9"/>
  <c r="AO10"/>
  <c r="AO11"/>
  <c r="AO13"/>
  <c r="AO14"/>
  <c r="AN15"/>
  <c r="AO15" s="1"/>
  <c r="AO16"/>
  <c r="AO17"/>
  <c r="R15" i="27" l="1"/>
  <c r="R4"/>
  <c r="T4"/>
  <c r="R3"/>
  <c r="T3"/>
  <c r="S4"/>
  <c r="Q4"/>
  <c r="T15"/>
  <c r="S15"/>
  <c r="AK12" i="32" l="1"/>
  <c r="AN12"/>
  <c r="AO12" s="1"/>
  <c r="AO18" s="1"/>
  <c r="AK18"/>
  <c r="AJ18"/>
  <c r="AN18" l="1"/>
</calcChain>
</file>

<file path=xl/sharedStrings.xml><?xml version="1.0" encoding="utf-8"?>
<sst xmlns="http://schemas.openxmlformats.org/spreadsheetml/2006/main" count="923" uniqueCount="485">
  <si>
    <t>工资福利支出</t>
  </si>
  <si>
    <t>单位</t>
  </si>
  <si>
    <t>颛桥</t>
  </si>
  <si>
    <t>序号</t>
  </si>
  <si>
    <t>项目名称</t>
  </si>
  <si>
    <t>功能分类</t>
  </si>
  <si>
    <t>口径</t>
  </si>
  <si>
    <t>合计</t>
  </si>
  <si>
    <t>备注</t>
  </si>
  <si>
    <t>1</t>
  </si>
  <si>
    <t>基本支出总预算数</t>
  </si>
  <si>
    <t>公式计算</t>
  </si>
  <si>
    <t>2</t>
  </si>
  <si>
    <t>3</t>
  </si>
  <si>
    <t>　　基本工资</t>
  </si>
  <si>
    <t>4</t>
  </si>
  <si>
    <t>　　　　1、岗位工资</t>
  </si>
  <si>
    <t>主款项</t>
  </si>
  <si>
    <t>根据人事口径按实编制</t>
  </si>
  <si>
    <t>5</t>
  </si>
  <si>
    <t>　　　　2、薪级工资</t>
  </si>
  <si>
    <t>6</t>
  </si>
  <si>
    <t>　　津贴补贴</t>
  </si>
  <si>
    <t>7</t>
  </si>
  <si>
    <t>　　　　1、各类津贴★▲</t>
  </si>
  <si>
    <t>8</t>
  </si>
  <si>
    <t>　　　　2、各类补贴</t>
  </si>
  <si>
    <t>9</t>
  </si>
  <si>
    <t>　　　　　　(1)上下班交通费补贴</t>
    <phoneticPr fontId="2" type="noConversion"/>
  </si>
  <si>
    <t>10</t>
  </si>
  <si>
    <t>　　其他社会保障缴费</t>
  </si>
  <si>
    <t>注：社保缴费基数应该相同</t>
  </si>
  <si>
    <t>11</t>
  </si>
  <si>
    <t>　　　　1、工伤保险费0.256%</t>
    <phoneticPr fontId="2" type="noConversion"/>
  </si>
  <si>
    <t>公式计算（请检查）</t>
  </si>
  <si>
    <t>12</t>
  </si>
  <si>
    <t>　　　　2、失业保险0.5%</t>
    <phoneticPr fontId="2" type="noConversion"/>
  </si>
  <si>
    <t>13</t>
  </si>
  <si>
    <t>　　绩效工资</t>
  </si>
  <si>
    <t>14</t>
  </si>
  <si>
    <t>　　　　1、绩效工资</t>
  </si>
  <si>
    <t>根据人保科数字编制</t>
    <phoneticPr fontId="2" type="noConversion"/>
  </si>
  <si>
    <t>15</t>
  </si>
  <si>
    <t>　　　　2、校长职级制</t>
  </si>
  <si>
    <t>根据校长职级制按实编制</t>
  </si>
  <si>
    <t>16</t>
  </si>
  <si>
    <t>　　　　3、工作餐补贴</t>
    <phoneticPr fontId="2" type="noConversion"/>
  </si>
  <si>
    <t>17</t>
  </si>
  <si>
    <t>　　　　4、课后服务(在编人员）</t>
    <phoneticPr fontId="2" type="noConversion"/>
  </si>
  <si>
    <t>18</t>
  </si>
  <si>
    <t xml:space="preserve">   城镇职工基本医疗保险缴费</t>
  </si>
  <si>
    <t>19</t>
  </si>
  <si>
    <r>
      <t xml:space="preserve">        1、医疗保险费10</t>
    </r>
    <r>
      <rPr>
        <sz val="9"/>
        <color indexed="8"/>
        <rFont val="宋体"/>
        <family val="3"/>
        <charset val="134"/>
      </rPr>
      <t>%</t>
    </r>
    <phoneticPr fontId="2" type="noConversion"/>
  </si>
  <si>
    <t>事业单位医疗</t>
  </si>
  <si>
    <t>20</t>
  </si>
  <si>
    <r>
      <t xml:space="preserve">        2、其他医疗保险费4</t>
    </r>
    <r>
      <rPr>
        <sz val="9"/>
        <color indexed="8"/>
        <rFont val="宋体"/>
        <family val="3"/>
        <charset val="134"/>
      </rPr>
      <t>%</t>
    </r>
    <phoneticPr fontId="2" type="noConversion"/>
  </si>
  <si>
    <t>21</t>
  </si>
  <si>
    <r>
      <t xml:space="preserve">          (</t>
    </r>
    <r>
      <rPr>
        <sz val="9"/>
        <color indexed="8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)其他保险2%(统筹)</t>
    </r>
  </si>
  <si>
    <t>22</t>
  </si>
  <si>
    <r>
      <t xml:space="preserve">          (</t>
    </r>
    <r>
      <rPr>
        <sz val="9"/>
        <color indexed="8"/>
        <rFont val="宋体"/>
        <family val="3"/>
        <charset val="134"/>
      </rPr>
      <t>2</t>
    </r>
    <r>
      <rPr>
        <sz val="9"/>
        <color indexed="8"/>
        <rFont val="宋体"/>
        <family val="3"/>
        <charset val="134"/>
      </rPr>
      <t>)其他保险2%(单位)</t>
    </r>
  </si>
  <si>
    <t>23</t>
  </si>
  <si>
    <t>　　事业单位基本养老保险缴费</t>
  </si>
  <si>
    <t>24</t>
  </si>
  <si>
    <t>　　　　1、基本养老保险16%</t>
    <phoneticPr fontId="2" type="noConversion"/>
  </si>
  <si>
    <t>养老保险</t>
  </si>
  <si>
    <t>25</t>
  </si>
  <si>
    <t>　　职业年金缴纳</t>
  </si>
  <si>
    <t>26</t>
  </si>
  <si>
    <t>　　　　1、职业年金8%</t>
  </si>
  <si>
    <t>职业年金</t>
  </si>
  <si>
    <t>27</t>
  </si>
  <si>
    <r>
      <t xml:space="preserve"> </t>
    </r>
    <r>
      <rPr>
        <sz val="9"/>
        <color indexed="8"/>
        <rFont val="宋体"/>
        <family val="3"/>
        <charset val="134"/>
      </rPr>
      <t xml:space="preserve">   </t>
    </r>
    <r>
      <rPr>
        <sz val="9"/>
        <color indexed="8"/>
        <rFont val="宋体"/>
        <family val="3"/>
        <charset val="134"/>
      </rPr>
      <t>公积金</t>
    </r>
    <r>
      <rPr>
        <sz val="9"/>
        <color indexed="8"/>
        <rFont val="宋体"/>
        <family val="3"/>
        <charset val="134"/>
      </rPr>
      <t>7%</t>
    </r>
    <phoneticPr fontId="2" type="noConversion"/>
  </si>
  <si>
    <t>公积金</t>
  </si>
  <si>
    <t>根据人事口径按实编制</t>
    <phoneticPr fontId="2" type="noConversion"/>
  </si>
  <si>
    <t>28</t>
  </si>
  <si>
    <t xml:space="preserve">    其他工资福利</t>
    <phoneticPr fontId="2" type="noConversion"/>
  </si>
  <si>
    <t>年初预算为0</t>
    <phoneticPr fontId="2" type="noConversion"/>
  </si>
  <si>
    <t>29</t>
  </si>
  <si>
    <t>对个人和家庭补助</t>
  </si>
  <si>
    <t>30</t>
  </si>
  <si>
    <t xml:space="preserve">    退休费</t>
    <phoneticPr fontId="2" type="noConversion"/>
  </si>
  <si>
    <t>离退休</t>
  </si>
  <si>
    <t>根据退休人员情况按实编制</t>
    <phoneticPr fontId="2" type="noConversion"/>
  </si>
  <si>
    <t>31</t>
  </si>
  <si>
    <t xml:space="preserve">        1、退休人员生活补贴</t>
    <phoneticPr fontId="2" type="noConversion"/>
  </si>
  <si>
    <t>32</t>
  </si>
  <si>
    <t>　　奖励金</t>
  </si>
  <si>
    <t>33</t>
  </si>
  <si>
    <t>　　　　1、独生子女奖励费▲</t>
  </si>
  <si>
    <t>34</t>
  </si>
  <si>
    <t>　　其他支出对个人和家庭补助</t>
  </si>
  <si>
    <t>35</t>
  </si>
  <si>
    <t>　　　　1、其他</t>
    <phoneticPr fontId="2" type="noConversion"/>
  </si>
  <si>
    <t>除罗阳小学3人及七宝二中1人的退休共享费外，其他学校填0</t>
  </si>
  <si>
    <t>36</t>
  </si>
  <si>
    <t>商品和服务支出和其他资本性支出</t>
  </si>
  <si>
    <t>37</t>
  </si>
  <si>
    <t>　　(一)公用定额</t>
  </si>
  <si>
    <t>学生人数*定额</t>
  </si>
  <si>
    <t>38</t>
  </si>
  <si>
    <t xml:space="preserve">       其中：培训费</t>
    <phoneticPr fontId="2" type="noConversion"/>
  </si>
  <si>
    <t>主款项</t>
    <phoneticPr fontId="2" type="noConversion"/>
  </si>
  <si>
    <t>生均定额5%</t>
    <phoneticPr fontId="2" type="noConversion"/>
  </si>
  <si>
    <t>39</t>
  </si>
  <si>
    <t>　　(二)培训费</t>
  </si>
  <si>
    <t>40</t>
  </si>
  <si>
    <t>　　　　1、进修、培训 400元/年教师</t>
  </si>
  <si>
    <t>教职工人数*400元（公式计算）</t>
  </si>
  <si>
    <t>41</t>
  </si>
  <si>
    <t>　　(三)维修(护)费</t>
  </si>
  <si>
    <t>42</t>
  </si>
  <si>
    <t>　　　　1、房屋维修费 15元/年平方米</t>
  </si>
  <si>
    <t>房屋面积*15元（公式计算）</t>
  </si>
  <si>
    <t>43</t>
  </si>
  <si>
    <t>　　(四)物业管理费</t>
  </si>
  <si>
    <t>44</t>
  </si>
  <si>
    <t>　　　　1、绿化维护费 8元/年平方米</t>
  </si>
  <si>
    <t>绿化面积*8元（公式计算）</t>
  </si>
  <si>
    <t>45</t>
  </si>
  <si>
    <t>　　(五)福利费</t>
    <phoneticPr fontId="2" type="noConversion"/>
  </si>
  <si>
    <t>46</t>
  </si>
  <si>
    <t>　　　　1、在职福利费</t>
    <phoneticPr fontId="2" type="noConversion"/>
  </si>
  <si>
    <t>教职工人数*4320元（公式计算）</t>
  </si>
  <si>
    <t>47</t>
  </si>
  <si>
    <t>　　　　2、离退休福利费</t>
    <phoneticPr fontId="2" type="noConversion"/>
  </si>
  <si>
    <t>离退休人数*4320元（公式计算）</t>
    <phoneticPr fontId="2" type="noConversion"/>
  </si>
  <si>
    <t>48</t>
  </si>
  <si>
    <t>　　(六)工会经费</t>
    <phoneticPr fontId="2" type="noConversion"/>
  </si>
  <si>
    <t>49</t>
  </si>
  <si>
    <t>　　　　1、工会经费2%</t>
  </si>
  <si>
    <t>50</t>
  </si>
  <si>
    <t>　　(七)公务用车运行维护费★</t>
    <phoneticPr fontId="2" type="noConversion"/>
  </si>
  <si>
    <t>51</t>
  </si>
  <si>
    <t>　　　　1、教育系统，校/辆</t>
  </si>
  <si>
    <t>机关局有编制的车辆数*32000元/年（分园及分校预算在其他交通费中编制）</t>
  </si>
  <si>
    <t>52</t>
  </si>
  <si>
    <t>　　(八)其他商品和服务支出</t>
    <phoneticPr fontId="2" type="noConversion"/>
  </si>
  <si>
    <t>53</t>
  </si>
  <si>
    <t>　　　　1、离退休公用支出</t>
    <phoneticPr fontId="2" type="noConversion"/>
  </si>
  <si>
    <t>54</t>
  </si>
  <si>
    <t>　　　　　　(1)活动费(活动费+活动费(托管))</t>
  </si>
  <si>
    <t>离退休人数*400元/年（公式计算）</t>
    <phoneticPr fontId="2" type="noConversion"/>
  </si>
  <si>
    <t>55</t>
  </si>
  <si>
    <t>　　　　2、子女幼托费</t>
    <phoneticPr fontId="2" type="noConversion"/>
  </si>
  <si>
    <t>没有，填0</t>
  </si>
  <si>
    <t>56</t>
  </si>
  <si>
    <t>　　(九)其他交通费用</t>
    <phoneticPr fontId="2" type="noConversion"/>
  </si>
  <si>
    <t>57</t>
  </si>
  <si>
    <t>　　　　2、教育系统</t>
  </si>
  <si>
    <t xml:space="preserve">
机关局无编制车辆的学校按32000元编制预算
机关局有编制的车辆，每分校增加10000元，每个分园增加5000元编制预算</t>
    <phoneticPr fontId="2" type="noConversion"/>
  </si>
  <si>
    <t>58</t>
  </si>
  <si>
    <t>学校基本情况：</t>
  </si>
  <si>
    <t>59</t>
  </si>
  <si>
    <t>1、教职工(人数)</t>
  </si>
  <si>
    <r>
      <t>填写202</t>
    </r>
    <r>
      <rPr>
        <sz val="9"/>
        <color indexed="8"/>
        <rFont val="宋体"/>
        <family val="3"/>
        <charset val="134"/>
      </rPr>
      <t>3</t>
    </r>
    <r>
      <rPr>
        <sz val="9"/>
        <color indexed="8"/>
        <rFont val="宋体"/>
        <family val="3"/>
        <charset val="134"/>
      </rPr>
      <t>年9月在编教职工人数</t>
    </r>
    <phoneticPr fontId="2" type="noConversion"/>
  </si>
  <si>
    <t>60</t>
  </si>
  <si>
    <t xml:space="preserve">       初中</t>
  </si>
  <si>
    <t>61</t>
  </si>
  <si>
    <t xml:space="preserve">       小学</t>
  </si>
  <si>
    <t>62</t>
  </si>
  <si>
    <t xml:space="preserve">       幼儿园</t>
  </si>
  <si>
    <t>63</t>
  </si>
  <si>
    <t xml:space="preserve">       其他</t>
  </si>
  <si>
    <t>64</t>
  </si>
  <si>
    <t>2、学生(人数)</t>
  </si>
  <si>
    <r>
      <t>填写202</t>
    </r>
    <r>
      <rPr>
        <sz val="9"/>
        <color indexed="8"/>
        <rFont val="宋体"/>
        <family val="3"/>
        <charset val="134"/>
      </rPr>
      <t>3</t>
    </r>
    <r>
      <rPr>
        <sz val="9"/>
        <color indexed="8"/>
        <rFont val="宋体"/>
        <family val="3"/>
        <charset val="134"/>
      </rPr>
      <t>年秋季学期学生人数，以招办人数为准</t>
    </r>
    <phoneticPr fontId="2" type="noConversion"/>
  </si>
  <si>
    <t>65</t>
  </si>
  <si>
    <t>66</t>
  </si>
  <si>
    <t>67</t>
  </si>
  <si>
    <t>68</t>
  </si>
  <si>
    <t>69</t>
  </si>
  <si>
    <t>3、事业退休人员人数</t>
    <phoneticPr fontId="2" type="noConversion"/>
  </si>
  <si>
    <t>70</t>
  </si>
  <si>
    <t>4、教育单位房屋（面积）</t>
    <phoneticPr fontId="2" type="noConversion"/>
  </si>
  <si>
    <t>71</t>
  </si>
  <si>
    <t>5、教育单位绿化（面积）</t>
    <phoneticPr fontId="2" type="noConversion"/>
  </si>
  <si>
    <t>颛桥中学</t>
  </si>
  <si>
    <t>北桥中学</t>
  </si>
  <si>
    <t>颛桥小学</t>
  </si>
  <si>
    <t>北桥小学</t>
  </si>
  <si>
    <t>田园外小</t>
  </si>
  <si>
    <t>田园二外小</t>
  </si>
  <si>
    <t>颛桥一幼</t>
  </si>
  <si>
    <t>颛桥镇幼</t>
  </si>
  <si>
    <t>君莲幼儿园</t>
  </si>
  <si>
    <t>上师大幼</t>
  </si>
  <si>
    <t>君莲学校</t>
  </si>
  <si>
    <t>社区学校</t>
  </si>
  <si>
    <t>颛桥镇二幼</t>
    <phoneticPr fontId="2" type="noConversion"/>
  </si>
  <si>
    <t>田园中学</t>
    <phoneticPr fontId="2" type="noConversion"/>
  </si>
  <si>
    <t>田园幼儿园</t>
    <phoneticPr fontId="2" type="noConversion"/>
  </si>
  <si>
    <t>属性</t>
  </si>
  <si>
    <t>初中</t>
  </si>
  <si>
    <t>九年一贯</t>
  </si>
  <si>
    <t>小学</t>
  </si>
  <si>
    <t>幼儿园</t>
  </si>
  <si>
    <t>上海市闵行区颛桥中学</t>
  </si>
  <si>
    <t>上海市闵行区北桥中学</t>
  </si>
  <si>
    <t>上海市闵行区田园外国语中学</t>
  </si>
  <si>
    <t>上海市闵行区君莲学校</t>
  </si>
  <si>
    <t>闵行区颛桥中心小学</t>
  </si>
  <si>
    <t>上海市闵行区田园外语实验小学</t>
  </si>
  <si>
    <t>闵行区北桥中心小学</t>
  </si>
  <si>
    <t>上海市闵行区田园第二外语实验小学</t>
  </si>
  <si>
    <t>上海市闵行区颛桥镇幼儿园</t>
  </si>
  <si>
    <t>上海市闵行区颛桥镇第一幼儿园</t>
  </si>
  <si>
    <t>上海市闵行区君莲幼儿园</t>
  </si>
  <si>
    <t>上海师范大学闵行实验幼儿园</t>
  </si>
  <si>
    <t>上海市闵行区颛桥镇田园都市幼儿园</t>
  </si>
  <si>
    <t>上海市闵行区颛桥镇第二幼儿园</t>
  </si>
  <si>
    <t>上海市闵行区颛桥镇社区学校</t>
  </si>
  <si>
    <t>镇属</t>
    <phoneticPr fontId="1" type="noConversion"/>
  </si>
  <si>
    <t>单位</t>
    <phoneticPr fontId="1" type="noConversion"/>
  </si>
  <si>
    <t>一次分配</t>
    <phoneticPr fontId="1" type="noConversion"/>
  </si>
  <si>
    <t>颛桥</t>
    <phoneticPr fontId="1" type="noConversion"/>
  </si>
  <si>
    <t>颛桥 汇总</t>
  </si>
  <si>
    <t>公积金预算</t>
    <phoneticPr fontId="1" type="noConversion"/>
  </si>
  <si>
    <t>颛桥镇二幼</t>
    <phoneticPr fontId="2" type="noConversion"/>
  </si>
  <si>
    <t>田园中学</t>
    <phoneticPr fontId="2" type="noConversion"/>
  </si>
  <si>
    <t>田园幼儿园</t>
    <phoneticPr fontId="2" type="noConversion"/>
  </si>
  <si>
    <t>镇属</t>
  </si>
  <si>
    <t>学校</t>
  </si>
  <si>
    <t>学段</t>
    <phoneticPr fontId="1" type="noConversion"/>
  </si>
  <si>
    <t>园部</t>
    <phoneticPr fontId="1" type="noConversion"/>
  </si>
  <si>
    <t>教育教辅后勤应配用工人数(正常额度+临时额度）</t>
  </si>
  <si>
    <t>财政资金应配备人数</t>
  </si>
  <si>
    <t>专技岗位
应配人数</t>
  </si>
  <si>
    <t>管理岗位
应配人数</t>
  </si>
  <si>
    <t>技术岗位
应配人数</t>
  </si>
  <si>
    <t>勤杂岗位
应配人数</t>
  </si>
  <si>
    <t>工资
（1-12月）</t>
  </si>
  <si>
    <t>福利费
（1月-12月）</t>
  </si>
  <si>
    <t>伙食费
（1-12月）</t>
  </si>
  <si>
    <t>工会经费
（1-12月）</t>
  </si>
  <si>
    <t>考核
（1-12月）</t>
  </si>
  <si>
    <t>奖金</t>
    <phoneticPr fontId="1" type="noConversion"/>
  </si>
  <si>
    <t>掌勺津贴</t>
    <phoneticPr fontId="1" type="noConversion"/>
  </si>
  <si>
    <t>管理费
（2023年全年）</t>
    <phoneticPr fontId="1" type="noConversion"/>
  </si>
  <si>
    <t>社保公积金
（35.256%）</t>
    <phoneticPr fontId="1" type="noConversion"/>
  </si>
  <si>
    <t>课后服务预估
（2024年预估）</t>
    <phoneticPr fontId="1" type="noConversion"/>
  </si>
  <si>
    <t>合计</t>
    <phoneticPr fontId="1" type="noConversion"/>
  </si>
  <si>
    <t>非义务</t>
    <phoneticPr fontId="1" type="noConversion"/>
  </si>
  <si>
    <t>义务</t>
    <phoneticPr fontId="1" type="noConversion"/>
  </si>
  <si>
    <t>闵行区君莲幼儿园</t>
  </si>
  <si>
    <t>闵行区颛桥镇第一幼儿园</t>
  </si>
  <si>
    <t>闵行区颛桥镇幼儿园</t>
  </si>
  <si>
    <t>闵行区田园外语实验小学</t>
  </si>
  <si>
    <t>闵行区田园第二外语实验小学</t>
  </si>
  <si>
    <t>闵行区北桥中学</t>
  </si>
  <si>
    <t>闵行区颛桥中学</t>
  </si>
  <si>
    <t>闵行区君莲学校</t>
  </si>
  <si>
    <t>田园外国语中学</t>
  </si>
  <si>
    <t>田园都市幼儿园</t>
  </si>
  <si>
    <t>颛桥第二幼儿园</t>
  </si>
  <si>
    <t>颛桥合计</t>
  </si>
  <si>
    <t>80%下达</t>
    <phoneticPr fontId="1" type="noConversion"/>
  </si>
  <si>
    <t>2024年镇管单位补充公用经费预算表</t>
    <phoneticPr fontId="1" type="noConversion"/>
  </si>
  <si>
    <t>2024年公办义务教育减免书薄费预算表</t>
    <phoneticPr fontId="2" type="noConversion"/>
  </si>
  <si>
    <t>性质</t>
  </si>
  <si>
    <t>学校名称</t>
  </si>
  <si>
    <t>小学金额
（175元/学期*2）</t>
    <phoneticPr fontId="2" type="noConversion"/>
  </si>
  <si>
    <t>初中金额
（215元/学期*2）</t>
    <phoneticPr fontId="2" type="noConversion"/>
  </si>
  <si>
    <t>镇管</t>
  </si>
  <si>
    <t>九年一贯制</t>
  </si>
  <si>
    <r>
      <rPr>
        <sz val="10"/>
        <rFont val="宋体"/>
        <family val="3"/>
        <charset val="134"/>
      </rPr>
      <t>上海市闵行区田园外语实验小学</t>
    </r>
  </si>
  <si>
    <r>
      <rPr>
        <sz val="10"/>
        <rFont val="宋体"/>
        <family val="3"/>
        <charset val="134"/>
      </rPr>
      <t>闵行区颛桥中心小学</t>
    </r>
  </si>
  <si>
    <r>
      <rPr>
        <sz val="10"/>
        <rFont val="宋体"/>
        <family val="3"/>
        <charset val="134"/>
      </rPr>
      <t>闵行区北桥中心小学</t>
    </r>
  </si>
  <si>
    <r>
      <rPr>
        <sz val="10"/>
        <rFont val="宋体"/>
        <family val="3"/>
        <charset val="134"/>
      </rPr>
      <t>闵行区君莲学校</t>
    </r>
  </si>
  <si>
    <r>
      <rPr>
        <sz val="10"/>
        <rFont val="宋体"/>
        <family val="3"/>
        <charset val="134"/>
      </rPr>
      <t>上海市闵行区北桥中学</t>
    </r>
  </si>
  <si>
    <t>田园初中</t>
    <phoneticPr fontId="1" type="noConversion"/>
  </si>
  <si>
    <r>
      <rPr>
        <sz val="10"/>
        <rFont val="宋体"/>
        <family val="3"/>
        <charset val="134"/>
      </rPr>
      <t>上海市闵行区颛桥中学</t>
    </r>
  </si>
  <si>
    <t>2024义务教育学生营养午餐补助预算表</t>
    <phoneticPr fontId="1" type="noConversion"/>
  </si>
  <si>
    <t xml:space="preserve"> 单位名称</t>
  </si>
  <si>
    <t>单位类别</t>
  </si>
  <si>
    <t>下半年金额</t>
  </si>
  <si>
    <t>君莲学校（初中）</t>
    <phoneticPr fontId="1" type="noConversion"/>
  </si>
  <si>
    <t>君莲学校（小学）</t>
  </si>
  <si>
    <t>2023年第一学期各资助类型金额</t>
    <phoneticPr fontId="1" type="noConversion"/>
  </si>
  <si>
    <t>全年</t>
    <phoneticPr fontId="1" type="noConversion"/>
  </si>
  <si>
    <t>建档立卡贫困家庭学生</t>
    <phoneticPr fontId="1" type="noConversion"/>
  </si>
  <si>
    <t>低保家庭学生</t>
    <phoneticPr fontId="1" type="noConversion"/>
  </si>
  <si>
    <t>烈士家庭学生数</t>
  </si>
  <si>
    <t>适龄孤儿</t>
    <phoneticPr fontId="1" type="noConversion"/>
  </si>
  <si>
    <t>残疾学生</t>
    <phoneticPr fontId="1" type="noConversion"/>
  </si>
  <si>
    <t>低收入家庭学生</t>
  </si>
  <si>
    <t>困境儿童</t>
  </si>
  <si>
    <t>金额</t>
  </si>
  <si>
    <t>2024年学前教育资助预算表</t>
    <phoneticPr fontId="1" type="noConversion"/>
  </si>
  <si>
    <t>学段</t>
  </si>
  <si>
    <t>2023年第一学期资助金额</t>
    <phoneticPr fontId="1" type="noConversion"/>
  </si>
  <si>
    <t>全年</t>
  </si>
  <si>
    <t>餐费</t>
  </si>
  <si>
    <t>点心费</t>
  </si>
  <si>
    <t>生活用品</t>
  </si>
  <si>
    <t>体检费</t>
  </si>
  <si>
    <t>校车费</t>
  </si>
  <si>
    <t>延时服务费</t>
  </si>
  <si>
    <t>课程配套标准材料费</t>
  </si>
  <si>
    <t>课外教育活动费</t>
  </si>
  <si>
    <t>城镇居民基本医疗保险费</t>
  </si>
  <si>
    <t>颛桥镇</t>
    <phoneticPr fontId="2" type="noConversion"/>
  </si>
  <si>
    <t>颛桥镇</t>
  </si>
  <si>
    <t>上海市闵行区颛桥镇第一幼儿园</t>
    <phoneticPr fontId="2" type="noConversion"/>
  </si>
  <si>
    <t>上海市闵行区颛桥镇第二幼儿园</t>
    <phoneticPr fontId="2" type="noConversion"/>
  </si>
  <si>
    <t>颛桥小计</t>
    <phoneticPr fontId="1" type="noConversion"/>
  </si>
  <si>
    <t>教育教辅后勤应配用工人数(2023人保提供）</t>
    <phoneticPr fontId="1" type="noConversion"/>
  </si>
  <si>
    <t>因故额外增加临时额度（2023人保提供）</t>
    <phoneticPr fontId="1" type="noConversion"/>
  </si>
  <si>
    <t>2024年金额（年初预算：按中位数测算，学校实际执行按人事部门规定标准执行，严禁超标准发放）</t>
    <phoneticPr fontId="1" type="noConversion"/>
  </si>
  <si>
    <t>现有辅助用工人数（2023年人保科提供）</t>
    <phoneticPr fontId="1" type="noConversion"/>
  </si>
  <si>
    <t>单 位</t>
  </si>
  <si>
    <t>属性2</t>
  </si>
  <si>
    <t>清算金额</t>
    <phoneticPr fontId="1" type="noConversion"/>
  </si>
  <si>
    <t>合计（常规）</t>
    <phoneticPr fontId="1" type="noConversion"/>
  </si>
  <si>
    <t>其中：校长绩效工资项目</t>
    <phoneticPr fontId="1" type="noConversion"/>
  </si>
  <si>
    <t>课后延时</t>
  </si>
  <si>
    <t>总绩效</t>
  </si>
  <si>
    <t>义务</t>
  </si>
  <si>
    <t>非义务</t>
  </si>
  <si>
    <t>社校</t>
  </si>
  <si>
    <r>
      <t>2023年</t>
    </r>
    <r>
      <rPr>
        <sz val="16"/>
        <rFont val="宋体"/>
        <family val="3"/>
        <charset val="134"/>
        <scheme val="minor"/>
      </rPr>
      <t>在编人员绩效（含课后延时）清算</t>
    </r>
    <phoneticPr fontId="1" type="noConversion"/>
  </si>
  <si>
    <t>2023年核定金额</t>
    <phoneticPr fontId="1" type="noConversion"/>
  </si>
  <si>
    <t>2023年分配金额</t>
    <phoneticPr fontId="1" type="noConversion"/>
  </si>
  <si>
    <t>镇属</t>
    <phoneticPr fontId="49" type="noConversion"/>
  </si>
  <si>
    <t>颛桥</t>
    <phoneticPr fontId="49" type="noConversion"/>
  </si>
  <si>
    <t>闵行区北颛桥中心小学</t>
    <phoneticPr fontId="1" type="noConversion"/>
  </si>
  <si>
    <t>人数</t>
    <phoneticPr fontId="1" type="noConversion"/>
  </si>
  <si>
    <t>金额（3元/人）</t>
    <phoneticPr fontId="1" type="noConversion"/>
  </si>
  <si>
    <t>2024年残疾人就业保障专项预算</t>
    <phoneticPr fontId="1" type="noConversion"/>
  </si>
  <si>
    <t>2024年社区教育</t>
    <phoneticPr fontId="1" type="noConversion"/>
  </si>
  <si>
    <t>2024年义务教育资助调整预算表</t>
    <phoneticPr fontId="1" type="noConversion"/>
  </si>
  <si>
    <t>2024年基本支出预算表（颛桥）</t>
    <phoneticPr fontId="2" type="noConversion"/>
  </si>
  <si>
    <t>2023年镇管学校修缮专项尾款清算统计表</t>
  </si>
  <si>
    <t>上海师范大学闵行实验幼儿园(翔泰园）</t>
  </si>
  <si>
    <t>2022年上海师范大学闵行实验幼儿园（翔泰园）维修工程</t>
  </si>
  <si>
    <t>闵行区颛桥镇君莲幼儿园</t>
  </si>
  <si>
    <t>2022年君莲幼儿园暑期维修工程</t>
  </si>
  <si>
    <t>上海市闵行区田园外语实验小学（金都校区）</t>
  </si>
  <si>
    <t>2022年田园外语实验小学（金都校区）暑期电扩容维修工程</t>
  </si>
  <si>
    <t>2022年田园初中电扩容维修项目</t>
  </si>
  <si>
    <t>上海师范大学闵行实验幼儿园（复地园）</t>
  </si>
  <si>
    <t>2022-2023年上海市闵行区君莲学校专项维修</t>
  </si>
  <si>
    <t>2022-2023年田园外语实验小学（金都校区）专项维修</t>
  </si>
  <si>
    <t>2022-2023年闵行区北桥中学专项维修</t>
  </si>
  <si>
    <t>上海市闵行区颛桥镇第一幼儿园（银桥园）</t>
  </si>
  <si>
    <t>2022-2023年颛桥镇第一幼儿园（银桥分园）专项维修</t>
  </si>
  <si>
    <t>上海市闵行区颛桥镇幼儿园（莘闵园）</t>
  </si>
  <si>
    <t>2022-2023年颛桥镇幼儿园专项维修</t>
  </si>
  <si>
    <t>上海市闵行区田园都市幼儿园</t>
  </si>
  <si>
    <t>2023年田园都市幼儿园电扩容工程</t>
  </si>
  <si>
    <t>2023年君莲学校专项维修工程</t>
  </si>
  <si>
    <t>上海闵行区民办华星小学</t>
  </si>
  <si>
    <t>2023年华星小学专项维修工程</t>
  </si>
  <si>
    <t>2023年颛桥小学专项维修工程</t>
  </si>
  <si>
    <t>田园外小金都校区体育馆修缮项目</t>
  </si>
  <si>
    <t>田园二外小室内体育馆改造工程</t>
  </si>
  <si>
    <t>2024年抚恤金年初预算（1-3月已发生数）</t>
    <phoneticPr fontId="1" type="noConversion"/>
  </si>
  <si>
    <t>颛桥</t>
    <phoneticPr fontId="1" type="noConversion"/>
  </si>
  <si>
    <t>学校全称</t>
  </si>
  <si>
    <t>地址</t>
  </si>
  <si>
    <t>维修类型</t>
  </si>
  <si>
    <t>建筑物名称</t>
  </si>
  <si>
    <t>校舍修缮内容</t>
  </si>
  <si>
    <t>工程量</t>
  </si>
  <si>
    <t>单价</t>
  </si>
  <si>
    <t>合价</t>
  </si>
  <si>
    <t>校舍维修</t>
  </si>
  <si>
    <t>㎡</t>
  </si>
  <si>
    <t>内墙涂料（墙面及顶面含铲除、外运、局部基础修粉）</t>
  </si>
  <si>
    <t>m</t>
  </si>
  <si>
    <t>（一）建安费合计</t>
  </si>
  <si>
    <t>（二）工程建设其他费</t>
  </si>
  <si>
    <t>总投资（一）+（二）</t>
  </si>
  <si>
    <t>校舍修缮</t>
  </si>
  <si>
    <t>空气检测费</t>
  </si>
  <si>
    <t>点</t>
  </si>
  <si>
    <t>项</t>
  </si>
  <si>
    <t>半圆活动场地</t>
  </si>
  <si>
    <t>场地检测费</t>
  </si>
  <si>
    <t>2024年颛桥镇校舍维修审核明细表</t>
  </si>
  <si>
    <t>上海市闵行区君莲学校(小学部）</t>
  </si>
  <si>
    <t>老沪闵路2700号</t>
  </si>
  <si>
    <t>塑胶场地</t>
  </si>
  <si>
    <t>原有EPDM面层铲除（含基层清理、找平，破损开裂处铲除并混凝土修复），新做40厚AC-05细沥青基础</t>
  </si>
  <si>
    <t>面层新做13厚EPDM塑胶(含划线）</t>
  </si>
  <si>
    <t>排水沟盖板更换及疏通</t>
  </si>
  <si>
    <t>上海市闵行区君莲学校(中学部）</t>
  </si>
  <si>
    <t>沪光路120号</t>
  </si>
  <si>
    <t xml:space="preserve">体育馆屋面、内墙、电器改造
</t>
  </si>
  <si>
    <t>屋面板及天沟拆除（含登高措施）</t>
  </si>
  <si>
    <t>屋面厚岩棉板（100mm厚）（含登高措施）</t>
  </si>
  <si>
    <t>防水卷材（自粘型）</t>
  </si>
  <si>
    <t>不锈钢天沟（含登高措施）</t>
  </si>
  <si>
    <t>新做排水管（含登高措施）</t>
  </si>
  <si>
    <t xml:space="preserve">上海市闵行区北桥中学
</t>
  </si>
  <si>
    <t>沪闵路1785号</t>
  </si>
  <si>
    <t>教学楼内墙、墙裙砖、外走廊</t>
  </si>
  <si>
    <t>内墙涂料（墙面及顶面，含铲除、外运、局部基础修粉）</t>
  </si>
  <si>
    <t>墙裙砖（含铲除、外运、基层）</t>
  </si>
  <si>
    <t>外走廊，外墙水性涂料（含铲除、外运、局部基础修粉）</t>
  </si>
  <si>
    <t>行政楼内墙、墙裙砖、外走廊、栏杆扶手</t>
  </si>
  <si>
    <t>内墙涂料（（墙面及顶面，含铲除、外运、局部基础修粉）</t>
  </si>
  <si>
    <t>不锈钢栏杆扶手（含原有栏杆拆除）</t>
  </si>
  <si>
    <t>实验楼内墙、墙裙砖、外走廊、栏杆扶手</t>
  </si>
  <si>
    <t>建筑外墙</t>
  </si>
  <si>
    <t>墙砖（含铲除、外运、防水、基层）</t>
  </si>
  <si>
    <t>室外升高车</t>
  </si>
  <si>
    <t>台班</t>
  </si>
  <si>
    <t>上海市闵行区君莲幼儿园（总园）</t>
  </si>
  <si>
    <t>闵行区老沪闵路2733号</t>
  </si>
  <si>
    <t>铲除原外墙涂料、GRC线条、保温至基层，及垃圾外运</t>
  </si>
  <si>
    <t>新做外墙粉刷找平基层（含防水层）</t>
  </si>
  <si>
    <t>新做气凝胶保温层</t>
  </si>
  <si>
    <t>外墙新做外墙腻子及涂料</t>
  </si>
  <si>
    <t>外墙钢管脚手架</t>
  </si>
  <si>
    <t>上海市闵行区君莲幼儿园（春都分园）</t>
  </si>
  <si>
    <t>春都路210号</t>
  </si>
  <si>
    <t xml:space="preserve">EPDM塑胶场地
</t>
  </si>
  <si>
    <t>铲除原有塑胶面层及垃圾外运(含基层损坏处修补）</t>
  </si>
  <si>
    <t>新做15厚EPDM塑胶（含图案及划线）</t>
  </si>
  <si>
    <t>田园第二外语实验小学</t>
  </si>
  <si>
    <t>伟都路45号</t>
  </si>
  <si>
    <t>足球天然草场地改人工草</t>
  </si>
  <si>
    <t>新做250厚碎石垫层、150厚混凝土基础</t>
  </si>
  <si>
    <t>原天然草坪铲除并下挖450厚、土方外运</t>
  </si>
  <si>
    <t>面层50厚人造草坪（含10厚减震垫）</t>
  </si>
  <si>
    <t>40厚细沥青基础</t>
  </si>
  <si>
    <t>面层新做15厚EPDM</t>
  </si>
  <si>
    <t>篮球场硅PU</t>
  </si>
  <si>
    <t>原硅PU拆除、垃圾外运及基层修补</t>
  </si>
  <si>
    <t>面层新做8厚硅PU</t>
  </si>
  <si>
    <t>都市路3000号</t>
  </si>
  <si>
    <t>户外水管</t>
  </si>
  <si>
    <t>污水管道改造（含开挖及回填）</t>
  </si>
  <si>
    <t>油水分离局部管线</t>
  </si>
  <si>
    <t>污水管及局部雨水疏通</t>
  </si>
  <si>
    <t>外接管道翻排</t>
  </si>
  <si>
    <t>检测井维修</t>
  </si>
  <si>
    <t>金阳路85弄18号</t>
  </si>
  <si>
    <t>教室木地板</t>
  </si>
  <si>
    <t>地面15厚实木复合地板（含铲除及外运、新做防潮层）</t>
  </si>
  <si>
    <t>地面15厚实木复合地板（含拆装、新做防潮层）利旧</t>
  </si>
  <si>
    <t>新做弱电桥架（油漆）(包含LED灯具及布线）</t>
  </si>
  <si>
    <t>㎡/m</t>
  </si>
  <si>
    <t>顶面涂料修缮（含铲除及外运、一底两面）</t>
  </si>
  <si>
    <t>80%预下达</t>
    <phoneticPr fontId="1" type="noConversion"/>
  </si>
  <si>
    <t>残疾就业保障</t>
    <phoneticPr fontId="1" type="noConversion"/>
  </si>
  <si>
    <t>抚恤金</t>
    <phoneticPr fontId="1" type="noConversion"/>
  </si>
  <si>
    <t>合计</t>
    <phoneticPr fontId="1" type="noConversion"/>
  </si>
  <si>
    <t>补2023年经费</t>
    <phoneticPr fontId="1" type="noConversion"/>
  </si>
  <si>
    <t>2-6月课后延时</t>
    <phoneticPr fontId="1" type="noConversion"/>
  </si>
  <si>
    <t>9-12月课后延时</t>
    <phoneticPr fontId="1" type="noConversion"/>
  </si>
  <si>
    <t>2023年镇管学校制度外用工清算核定表（补充公用经费清算不含储备老师）</t>
    <phoneticPr fontId="49" type="noConversion"/>
  </si>
  <si>
    <t>小计课后延时</t>
    <phoneticPr fontId="1" type="noConversion"/>
  </si>
  <si>
    <t>2023年已下达课后延时金额</t>
    <phoneticPr fontId="1" type="noConversion"/>
  </si>
  <si>
    <t>清算课后延时金额</t>
    <phoneticPr fontId="1" type="noConversion"/>
  </si>
  <si>
    <t>镇属</t>
    <phoneticPr fontId="49" type="noConversion"/>
  </si>
  <si>
    <t>总投资（元）
（财政批复）</t>
    <phoneticPr fontId="49" type="noConversion"/>
  </si>
  <si>
    <t>建安费（元）
（财政批复）</t>
    <phoneticPr fontId="49" type="noConversion"/>
  </si>
  <si>
    <t>施工合同价
（元）</t>
    <phoneticPr fontId="49" type="noConversion"/>
  </si>
  <si>
    <t>工程审定价
（元）</t>
    <phoneticPr fontId="49" type="noConversion"/>
  </si>
  <si>
    <t>二类费用
（元）</t>
    <phoneticPr fontId="49" type="noConversion"/>
  </si>
  <si>
    <t>应执行金额费用
（元）</t>
    <phoneticPr fontId="49" type="noConversion"/>
  </si>
  <si>
    <t>已执行金额费用
（元）</t>
    <phoneticPr fontId="49" type="noConversion"/>
  </si>
  <si>
    <t>尾款清算金额费用
（元）</t>
    <phoneticPr fontId="49" type="noConversion"/>
  </si>
  <si>
    <t>颛桥</t>
    <phoneticPr fontId="49" type="noConversion"/>
  </si>
  <si>
    <t>上海市闵行区田园外语实验小学</t>
    <phoneticPr fontId="49" type="noConversion"/>
  </si>
  <si>
    <t>上海市闵行区田园第二外语实验小学</t>
    <phoneticPr fontId="49" type="noConversion"/>
  </si>
  <si>
    <t>2024年教育统筹经费第一次分配明细表</t>
    <phoneticPr fontId="1" type="noConversion"/>
  </si>
  <si>
    <t>颛桥镇：</t>
    <phoneticPr fontId="2" type="noConversion"/>
  </si>
  <si>
    <t>单位：元</t>
    <phoneticPr fontId="1" type="noConversion"/>
  </si>
  <si>
    <t>序号</t>
    <phoneticPr fontId="2" type="noConversion"/>
  </si>
  <si>
    <t>项目</t>
    <phoneticPr fontId="2" type="noConversion"/>
  </si>
  <si>
    <t>工资福利支出</t>
    <phoneticPr fontId="1" type="noConversion"/>
  </si>
  <si>
    <t>商品服务支出</t>
    <phoneticPr fontId="1" type="noConversion"/>
  </si>
  <si>
    <t>对个人和家庭的补助支出</t>
    <phoneticPr fontId="1" type="noConversion"/>
  </si>
  <si>
    <t>社区教育经费</t>
  </si>
  <si>
    <t>社区教育志愿者联盟</t>
  </si>
  <si>
    <t>补充公用经费</t>
    <phoneticPr fontId="1" type="noConversion"/>
  </si>
  <si>
    <t>义务教育减免书簿费</t>
    <phoneticPr fontId="1" type="noConversion"/>
  </si>
  <si>
    <t>义务教育营养午餐</t>
    <phoneticPr fontId="1" type="noConversion"/>
  </si>
  <si>
    <t>义务教育学生资助</t>
    <phoneticPr fontId="1" type="noConversion"/>
  </si>
  <si>
    <t>公办学前教育资助</t>
    <phoneticPr fontId="1" type="noConversion"/>
  </si>
  <si>
    <t>合计</t>
    <phoneticPr fontId="2" type="noConversion"/>
  </si>
  <si>
    <t>校舍维修</t>
    <phoneticPr fontId="1" type="noConversion"/>
  </si>
  <si>
    <t>文体中心运行费</t>
    <phoneticPr fontId="1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</si>
</sst>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 ;\-0.00;;"/>
    <numFmt numFmtId="178" formatCode="0.00_);[Red]\(0.00\)"/>
    <numFmt numFmtId="179" formatCode="[$-F800]dddd\,\ mmmm\ dd\,\ yyyy"/>
    <numFmt numFmtId="180" formatCode="0_ "/>
    <numFmt numFmtId="181" formatCode="0_);[Red]\(0\)"/>
  </numFmts>
  <fonts count="7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14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sz val="11"/>
      <color indexed="14"/>
      <name val="宋体"/>
      <family val="3"/>
      <charset val="134"/>
    </font>
    <font>
      <u/>
      <sz val="14.4"/>
      <color indexed="12"/>
      <name val="宋体"/>
      <family val="3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sz val="11"/>
      <color rgb="FF006100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b/>
      <sz val="20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12"/>
      <name val="宋体"/>
      <family val="3"/>
      <charset val="134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4"/>
      <name val="宋体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楷体_GB2312"/>
      <family val="3"/>
      <charset val="134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color theme="1"/>
      <name val="宋体"/>
      <family val="3"/>
      <charset val="134"/>
      <scheme val="major"/>
    </font>
    <font>
      <sz val="16"/>
      <name val="宋体"/>
      <family val="2"/>
      <charset val="134"/>
      <scheme val="minor"/>
    </font>
    <font>
      <sz val="16"/>
      <name val="宋体"/>
      <family val="3"/>
      <charset val="134"/>
      <scheme val="minor"/>
    </font>
    <font>
      <sz val="9"/>
      <name val="黑体"/>
      <family val="3"/>
      <charset val="134"/>
    </font>
    <font>
      <sz val="9"/>
      <color theme="1"/>
      <name val="宋体"/>
      <family val="2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name val="宋体"/>
      <family val="3"/>
      <charset val="134"/>
      <scheme val="major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auto="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11">
    <xf numFmtId="0" fontId="0" fillId="0" borderId="0">
      <alignment vertical="center"/>
    </xf>
    <xf numFmtId="0" fontId="4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>
      <alignment vertical="center"/>
    </xf>
    <xf numFmtId="0" fontId="12" fillId="3" borderId="0">
      <alignment vertical="center"/>
    </xf>
    <xf numFmtId="0" fontId="12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12" fillId="3" borderId="0">
      <alignment vertical="center"/>
    </xf>
    <xf numFmtId="0" fontId="5" fillId="3" borderId="0">
      <alignment vertical="center"/>
    </xf>
    <xf numFmtId="0" fontId="5" fillId="3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12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12" fillId="4" borderId="0">
      <alignment vertical="center"/>
    </xf>
    <xf numFmtId="0" fontId="5" fillId="4" borderId="0">
      <alignment vertical="center"/>
    </xf>
    <xf numFmtId="0" fontId="5" fillId="4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12" fillId="5" borderId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>
      <alignment vertical="center"/>
    </xf>
    <xf numFmtId="0" fontId="12" fillId="7" borderId="0">
      <alignment vertical="center"/>
    </xf>
    <xf numFmtId="0" fontId="12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12" fillId="7" borderId="0">
      <alignment vertical="center"/>
    </xf>
    <xf numFmtId="0" fontId="5" fillId="7" borderId="0">
      <alignment vertical="center"/>
    </xf>
    <xf numFmtId="0" fontId="5" fillId="7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>
      <alignment vertical="center"/>
    </xf>
    <xf numFmtId="0" fontId="12" fillId="8" borderId="0">
      <alignment vertical="center"/>
    </xf>
    <xf numFmtId="0" fontId="12" fillId="8" borderId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12" fillId="8" borderId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12" fillId="10" borderId="0">
      <alignment vertical="center"/>
    </xf>
    <xf numFmtId="0" fontId="5" fillId="10" borderId="0">
      <alignment vertical="center"/>
    </xf>
    <xf numFmtId="0" fontId="5" fillId="10" borderId="0">
      <alignment vertical="center"/>
    </xf>
    <xf numFmtId="0" fontId="12" fillId="10" borderId="0">
      <alignment vertical="center"/>
    </xf>
    <xf numFmtId="0" fontId="5" fillId="10" borderId="0">
      <alignment vertical="center"/>
    </xf>
    <xf numFmtId="0" fontId="5" fillId="1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>
      <alignment vertical="center"/>
    </xf>
    <xf numFmtId="0" fontId="12" fillId="11" borderId="0">
      <alignment vertical="center"/>
    </xf>
    <xf numFmtId="0" fontId="12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12" fillId="11" borderId="0">
      <alignment vertical="center"/>
    </xf>
    <xf numFmtId="0" fontId="5" fillId="11" borderId="0">
      <alignment vertical="center"/>
    </xf>
    <xf numFmtId="0" fontId="5" fillId="11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>
      <alignment vertical="center"/>
    </xf>
    <xf numFmtId="0" fontId="5" fillId="9" borderId="0">
      <alignment vertical="center"/>
    </xf>
    <xf numFmtId="0" fontId="5" fillId="9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12" fillId="12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12" fillId="12" borderId="0">
      <alignment vertical="center"/>
    </xf>
    <xf numFmtId="0" fontId="5" fillId="12" borderId="0">
      <alignment vertical="center"/>
    </xf>
    <xf numFmtId="0" fontId="5" fillId="12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>
      <alignment vertical="center"/>
    </xf>
    <xf numFmtId="0" fontId="23" fillId="0" borderId="2">
      <alignment vertical="center"/>
    </xf>
    <xf numFmtId="0" fontId="23" fillId="0" borderId="2">
      <alignment vertical="center"/>
    </xf>
    <xf numFmtId="0" fontId="23" fillId="0" borderId="2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>
      <alignment vertical="center"/>
    </xf>
    <xf numFmtId="0" fontId="14" fillId="0" borderId="3">
      <alignment vertical="center"/>
    </xf>
    <xf numFmtId="0" fontId="14" fillId="0" borderId="3">
      <alignment vertical="center"/>
    </xf>
    <xf numFmtId="0" fontId="14" fillId="0" borderId="3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>
      <alignment vertical="center"/>
    </xf>
    <xf numFmtId="0" fontId="20" fillId="0" borderId="4">
      <alignment vertical="center"/>
    </xf>
    <xf numFmtId="0" fontId="20" fillId="0" borderId="4">
      <alignment vertical="center"/>
    </xf>
    <xf numFmtId="0" fontId="20" fillId="0" borderId="4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>
      <alignment vertical="center"/>
    </xf>
    <xf numFmtId="0" fontId="25" fillId="4" borderId="0">
      <alignment vertical="center"/>
    </xf>
    <xf numFmtId="0" fontId="25" fillId="4" borderId="0">
      <alignment vertical="center"/>
    </xf>
    <xf numFmtId="0" fontId="25" fillId="4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10" fillId="0" borderId="0"/>
    <xf numFmtId="0" fontId="10" fillId="0" borderId="0"/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>
      <alignment vertical="center"/>
    </xf>
    <xf numFmtId="0" fontId="9" fillId="0" borderId="5">
      <alignment vertical="center"/>
    </xf>
    <xf numFmtId="0" fontId="9" fillId="0" borderId="5">
      <alignment vertical="center"/>
    </xf>
    <xf numFmtId="0" fontId="9" fillId="0" borderId="5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>
      <alignment vertical="center"/>
    </xf>
    <xf numFmtId="0" fontId="26" fillId="18" borderId="6">
      <alignment vertical="center"/>
    </xf>
    <xf numFmtId="0" fontId="26" fillId="18" borderId="6">
      <alignment vertical="center"/>
    </xf>
    <xf numFmtId="0" fontId="26" fillId="18" borderId="6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>
      <alignment vertical="center"/>
    </xf>
    <xf numFmtId="0" fontId="17" fillId="19" borderId="7">
      <alignment vertical="center"/>
    </xf>
    <xf numFmtId="0" fontId="17" fillId="19" borderId="7">
      <alignment vertical="center"/>
    </xf>
    <xf numFmtId="0" fontId="17" fillId="19" borderId="7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>
      <alignment vertical="center"/>
    </xf>
    <xf numFmtId="0" fontId="27" fillId="0" borderId="8">
      <alignment vertical="center"/>
    </xf>
    <xf numFmtId="0" fontId="27" fillId="0" borderId="8">
      <alignment vertical="center"/>
    </xf>
    <xf numFmtId="0" fontId="27" fillId="0" borderId="8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/>
    <xf numFmtId="43" fontId="3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/>
    <xf numFmtId="43" fontId="3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>
      <alignment vertical="center"/>
    </xf>
    <xf numFmtId="0" fontId="13" fillId="20" borderId="0">
      <alignment vertical="center"/>
    </xf>
    <xf numFmtId="0" fontId="13" fillId="20" borderId="0">
      <alignment vertical="center"/>
    </xf>
    <xf numFmtId="0" fontId="13" fillId="2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>
      <alignment vertical="center"/>
    </xf>
    <xf numFmtId="0" fontId="13" fillId="23" borderId="0">
      <alignment vertical="center"/>
    </xf>
    <xf numFmtId="0" fontId="13" fillId="23" borderId="0">
      <alignment vertical="center"/>
    </xf>
    <xf numFmtId="0" fontId="13" fillId="23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5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5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>
      <alignment vertical="center"/>
    </xf>
    <xf numFmtId="0" fontId="13" fillId="24" borderId="0">
      <alignment vertical="center"/>
    </xf>
    <xf numFmtId="0" fontId="13" fillId="24" borderId="0">
      <alignment vertical="center"/>
    </xf>
    <xf numFmtId="0" fontId="13" fillId="24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>
      <alignment vertical="center"/>
    </xf>
    <xf numFmtId="0" fontId="15" fillId="25" borderId="0">
      <alignment vertical="center"/>
    </xf>
    <xf numFmtId="0" fontId="15" fillId="25" borderId="0">
      <alignment vertical="center"/>
    </xf>
    <xf numFmtId="0" fontId="15" fillId="25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>
      <alignment vertical="center"/>
    </xf>
    <xf numFmtId="0" fontId="24" fillId="18" borderId="9">
      <alignment vertical="center"/>
    </xf>
    <xf numFmtId="0" fontId="24" fillId="18" borderId="9">
      <alignment vertical="center"/>
    </xf>
    <xf numFmtId="0" fontId="24" fillId="18" borderId="9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>
      <alignment vertical="center"/>
    </xf>
    <xf numFmtId="0" fontId="22" fillId="8" borderId="6">
      <alignment vertical="center"/>
    </xf>
    <xf numFmtId="0" fontId="22" fillId="8" borderId="6">
      <alignment vertical="center"/>
    </xf>
    <xf numFmtId="0" fontId="22" fillId="8" borderId="6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/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>
      <alignment vertical="center"/>
    </xf>
    <xf numFmtId="0" fontId="12" fillId="26" borderId="10">
      <alignment vertical="center"/>
    </xf>
    <xf numFmtId="0" fontId="12" fillId="26" borderId="10">
      <alignment vertical="center"/>
    </xf>
    <xf numFmtId="0" fontId="5" fillId="26" borderId="10">
      <alignment vertical="center"/>
    </xf>
    <xf numFmtId="0" fontId="5" fillId="26" borderId="10">
      <alignment vertical="center"/>
    </xf>
    <xf numFmtId="0" fontId="12" fillId="26" borderId="10">
      <alignment vertical="center"/>
    </xf>
    <xf numFmtId="0" fontId="5" fillId="26" borderId="10">
      <alignment vertical="center"/>
    </xf>
    <xf numFmtId="0" fontId="5" fillId="26" borderId="1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12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0" fontId="5" fillId="26" borderId="10" applyNumberFormat="0" applyFont="0" applyAlignment="0" applyProtection="0">
      <alignment vertical="center"/>
    </xf>
    <xf numFmtId="176" fontId="3" fillId="0" borderId="0">
      <alignment vertical="center"/>
    </xf>
    <xf numFmtId="0" fontId="50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3" fillId="0" borderId="0">
      <alignment vertical="center"/>
    </xf>
    <xf numFmtId="176" fontId="50" fillId="0" borderId="0">
      <alignment vertical="center"/>
    </xf>
    <xf numFmtId="0" fontId="4" fillId="0" borderId="0"/>
    <xf numFmtId="41" fontId="50" fillId="0" borderId="0" applyFont="0" applyFill="0" applyBorder="0" applyAlignment="0" applyProtection="0">
      <alignment vertical="center"/>
    </xf>
    <xf numFmtId="0" fontId="7" fillId="0" borderId="0"/>
    <xf numFmtId="178" fontId="7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43">
    <xf numFmtId="0" fontId="0" fillId="0" borderId="0" xfId="0">
      <alignment vertical="center"/>
    </xf>
    <xf numFmtId="0" fontId="40" fillId="2" borderId="13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protection locked="0"/>
    </xf>
    <xf numFmtId="49" fontId="2" fillId="2" borderId="13" xfId="0" applyNumberFormat="1" applyFont="1" applyFill="1" applyBorder="1" applyAlignment="1" applyProtection="1">
      <alignment wrapText="1"/>
      <protection locked="0"/>
    </xf>
    <xf numFmtId="177" fontId="2" fillId="2" borderId="13" xfId="0" applyNumberFormat="1" applyFont="1" applyFill="1" applyBorder="1" applyAlignment="1" applyProtection="1">
      <protection locked="0"/>
    </xf>
    <xf numFmtId="177" fontId="41" fillId="2" borderId="13" xfId="0" applyNumberFormat="1" applyFont="1" applyFill="1" applyBorder="1" applyAlignment="1" applyProtection="1"/>
    <xf numFmtId="0" fontId="2" fillId="2" borderId="0" xfId="0" applyFont="1" applyFill="1" applyAlignment="1" applyProtection="1">
      <protection locked="0"/>
    </xf>
    <xf numFmtId="49" fontId="40" fillId="2" borderId="13" xfId="0" applyNumberFormat="1" applyFont="1" applyFill="1" applyBorder="1" applyAlignment="1" applyProtection="1">
      <protection locked="0"/>
    </xf>
    <xf numFmtId="177" fontId="41" fillId="2" borderId="13" xfId="0" applyNumberFormat="1" applyFont="1" applyFill="1" applyBorder="1" applyAlignment="1" applyProtection="1">
      <protection locked="0"/>
    </xf>
    <xf numFmtId="49" fontId="41" fillId="2" borderId="13" xfId="0" applyNumberFormat="1" applyFont="1" applyFill="1" applyBorder="1" applyAlignment="1" applyProtection="1">
      <alignment wrapText="1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77" fontId="2" fillId="2" borderId="14" xfId="0" applyNumberFormat="1" applyFont="1" applyFill="1" applyBorder="1" applyAlignment="1" applyProtection="1">
      <protection locked="0"/>
    </xf>
    <xf numFmtId="49" fontId="41" fillId="2" borderId="13" xfId="0" applyNumberFormat="1" applyFont="1" applyFill="1" applyBorder="1" applyAlignment="1" applyProtection="1">
      <protection locked="0"/>
    </xf>
    <xf numFmtId="0" fontId="41" fillId="2" borderId="0" xfId="0" applyFont="1" applyFill="1" applyAlignment="1" applyProtection="1">
      <protection locked="0"/>
    </xf>
    <xf numFmtId="49" fontId="40" fillId="2" borderId="13" xfId="0" applyNumberFormat="1" applyFont="1" applyFill="1" applyBorder="1" applyAlignment="1" applyProtection="1">
      <alignment wrapText="1"/>
      <protection locked="0"/>
    </xf>
    <xf numFmtId="0" fontId="39" fillId="2" borderId="13" xfId="0" applyNumberFormat="1" applyFont="1" applyFill="1" applyBorder="1" applyAlignment="1" applyProtection="1">
      <alignment horizontal="center" vertical="center"/>
      <protection locked="0"/>
    </xf>
    <xf numFmtId="0" fontId="3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13" xfId="0" applyNumberFormat="1" applyFont="1" applyFill="1" applyBorder="1" applyAlignment="1" applyProtection="1">
      <alignment horizontal="left" wrapText="1"/>
      <protection locked="0"/>
    </xf>
    <xf numFmtId="177" fontId="2" fillId="2" borderId="13" xfId="0" applyNumberFormat="1" applyFont="1" applyFill="1" applyBorder="1" applyAlignment="1" applyProtection="1"/>
    <xf numFmtId="0" fontId="41" fillId="2" borderId="13" xfId="0" applyFont="1" applyFill="1" applyBorder="1" applyAlignment="1" applyProtection="1">
      <alignment wrapText="1"/>
      <protection locked="0"/>
    </xf>
    <xf numFmtId="178" fontId="2" fillId="2" borderId="13" xfId="0" applyNumberFormat="1" applyFont="1" applyFill="1" applyBorder="1" applyAlignment="1" applyProtection="1">
      <protection locked="0"/>
    </xf>
    <xf numFmtId="49" fontId="40" fillId="2" borderId="14" xfId="0" applyNumberFormat="1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2" fillId="2" borderId="14" xfId="0" applyNumberFormat="1" applyFont="1" applyFill="1" applyBorder="1" applyAlignment="1" applyProtection="1">
      <alignment wrapText="1"/>
      <protection locked="0"/>
    </xf>
    <xf numFmtId="49" fontId="40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77" fontId="2" fillId="2" borderId="1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wrapText="1"/>
      <protection locked="0"/>
    </xf>
    <xf numFmtId="49" fontId="40" fillId="2" borderId="13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45" fillId="0" borderId="0" xfId="0" applyFont="1">
      <alignment vertical="center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0" xfId="0" applyNumberFormat="1" applyFont="1" applyFill="1">
      <alignment vertical="center"/>
    </xf>
    <xf numFmtId="0" fontId="2" fillId="29" borderId="13" xfId="0" applyNumberFormat="1" applyFont="1" applyFill="1" applyBorder="1" applyAlignment="1">
      <alignment horizontal="center" vertical="center" wrapText="1"/>
    </xf>
    <xf numFmtId="0" fontId="49" fillId="29" borderId="13" xfId="0" applyNumberFormat="1" applyFont="1" applyFill="1" applyBorder="1" applyAlignment="1">
      <alignment horizontal="center" vertical="center"/>
    </xf>
    <xf numFmtId="0" fontId="49" fillId="2" borderId="13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49" fillId="2" borderId="13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>
      <alignment horizontal="center" vertical="center"/>
    </xf>
    <xf numFmtId="176" fontId="49" fillId="29" borderId="13" xfId="0" applyNumberFormat="1" applyFont="1" applyFill="1" applyBorder="1" applyAlignment="1">
      <alignment horizontal="center" vertical="center"/>
    </xf>
    <xf numFmtId="0" fontId="46" fillId="29" borderId="0" xfId="0" applyNumberFormat="1" applyFont="1" applyFill="1">
      <alignment vertical="center"/>
    </xf>
    <xf numFmtId="176" fontId="2" fillId="2" borderId="13" xfId="0" applyNumberFormat="1" applyFont="1" applyFill="1" applyBorder="1" applyAlignment="1">
      <alignment horizontal="center" vertical="center" wrapText="1"/>
    </xf>
    <xf numFmtId="0" fontId="46" fillId="2" borderId="0" xfId="0" applyNumberFormat="1" applyFont="1" applyFill="1" applyAlignment="1">
      <alignment horizontal="center" vertical="center"/>
    </xf>
    <xf numFmtId="0" fontId="46" fillId="2" borderId="13" xfId="0" applyNumberFormat="1" applyFont="1" applyFill="1" applyBorder="1" applyAlignment="1">
      <alignment horizontal="center" vertical="center"/>
    </xf>
    <xf numFmtId="0" fontId="46" fillId="2" borderId="17" xfId="0" applyNumberFormat="1" applyFont="1" applyFill="1" applyBorder="1">
      <alignment vertical="center"/>
    </xf>
    <xf numFmtId="0" fontId="46" fillId="2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4" fillId="30" borderId="18" xfId="0" applyNumberFormat="1" applyFont="1" applyFill="1" applyBorder="1" applyAlignment="1">
      <alignment horizontal="center" vertical="center"/>
    </xf>
    <xf numFmtId="0" fontId="4" fillId="30" borderId="17" xfId="0" applyNumberFormat="1" applyFont="1" applyFill="1" applyBorder="1" applyAlignment="1">
      <alignment horizontal="center" vertical="center"/>
    </xf>
    <xf numFmtId="0" fontId="4" fillId="3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/>
    <xf numFmtId="0" fontId="3" fillId="0" borderId="17" xfId="0" applyNumberFormat="1" applyFont="1" applyBorder="1" applyAlignment="1">
      <alignment horizontal="center"/>
    </xf>
    <xf numFmtId="0" fontId="3" fillId="29" borderId="17" xfId="0" applyNumberFormat="1" applyFont="1" applyFill="1" applyBorder="1" applyAlignment="1">
      <alignment horizontal="center"/>
    </xf>
    <xf numFmtId="0" fontId="53" fillId="2" borderId="0" xfId="0" applyNumberFormat="1" applyFont="1" applyFill="1">
      <alignment vertical="center"/>
    </xf>
    <xf numFmtId="0" fontId="4" fillId="29" borderId="17" xfId="1094" applyNumberFormat="1" applyFont="1" applyFill="1" applyBorder="1" applyAlignment="1">
      <alignment horizontal="center" vertical="center"/>
    </xf>
    <xf numFmtId="0" fontId="54" fillId="29" borderId="17" xfId="2001" applyNumberFormat="1" applyFont="1" applyFill="1" applyBorder="1" applyAlignment="1">
      <alignment horizontal="center" vertical="center"/>
    </xf>
    <xf numFmtId="0" fontId="2" fillId="2" borderId="17" xfId="1094" applyNumberFormat="1" applyFont="1" applyFill="1" applyBorder="1" applyAlignment="1">
      <alignment horizontal="center" vertical="center" wrapText="1"/>
    </xf>
    <xf numFmtId="0" fontId="2" fillId="2" borderId="17" xfId="1094" applyNumberFormat="1" applyFont="1" applyFill="1" applyBorder="1" applyAlignment="1">
      <alignment vertical="center" wrapText="1"/>
    </xf>
    <xf numFmtId="0" fontId="44" fillId="2" borderId="17" xfId="1149" applyFont="1" applyFill="1" applyBorder="1" applyAlignment="1">
      <alignment horizontal="center" vertical="center"/>
    </xf>
    <xf numFmtId="0" fontId="49" fillId="2" borderId="17" xfId="2001" applyNumberFormat="1" applyFont="1" applyFill="1" applyBorder="1" applyAlignment="1">
      <alignment horizontal="center" vertical="center"/>
    </xf>
    <xf numFmtId="0" fontId="2" fillId="29" borderId="17" xfId="1094" applyNumberFormat="1" applyFont="1" applyFill="1" applyBorder="1" applyAlignment="1">
      <alignment horizontal="center" vertical="center" wrapText="1"/>
    </xf>
    <xf numFmtId="0" fontId="2" fillId="29" borderId="17" xfId="1094" applyNumberFormat="1" applyFont="1" applyFill="1" applyBorder="1" applyAlignment="1">
      <alignment vertical="center"/>
    </xf>
    <xf numFmtId="0" fontId="2" fillId="29" borderId="17" xfId="1094" applyNumberFormat="1" applyFont="1" applyFill="1" applyBorder="1" applyAlignment="1">
      <alignment vertical="center" wrapText="1"/>
    </xf>
    <xf numFmtId="0" fontId="49" fillId="29" borderId="17" xfId="2001" applyNumberFormat="1" applyFont="1" applyFill="1" applyBorder="1" applyAlignment="1">
      <alignment horizontal="center" vertical="center"/>
    </xf>
    <xf numFmtId="0" fontId="49" fillId="2" borderId="17" xfId="2002" applyNumberFormat="1" applyFont="1" applyFill="1" applyBorder="1" applyAlignment="1">
      <alignment horizontal="left" vertical="center"/>
    </xf>
    <xf numFmtId="0" fontId="49" fillId="2" borderId="19" xfId="2001" applyNumberFormat="1" applyFont="1" applyFill="1" applyBorder="1">
      <alignment vertical="center"/>
    </xf>
    <xf numFmtId="179" fontId="55" fillId="0" borderId="0" xfId="0" applyNumberFormat="1" applyFont="1">
      <alignment vertical="center"/>
    </xf>
    <xf numFmtId="0" fontId="42" fillId="29" borderId="17" xfId="2005" applyNumberFormat="1" applyFont="1" applyFill="1" applyBorder="1" applyAlignment="1">
      <alignment horizontal="center" vertical="center" wrapText="1"/>
    </xf>
    <xf numFmtId="0" fontId="56" fillId="29" borderId="17" xfId="2005" applyNumberFormat="1" applyFont="1" applyFill="1" applyBorder="1" applyAlignment="1">
      <alignment horizontal="center" vertical="center" wrapText="1"/>
    </xf>
    <xf numFmtId="0" fontId="2" fillId="28" borderId="17" xfId="1094" applyNumberFormat="1" applyFont="1" applyFill="1" applyBorder="1" applyAlignment="1">
      <alignment horizontal="center" vertical="center" wrapText="1"/>
    </xf>
    <xf numFmtId="0" fontId="44" fillId="0" borderId="17" xfId="1149" applyFont="1" applyBorder="1" applyAlignment="1">
      <alignment horizontal="center" vertical="center"/>
    </xf>
    <xf numFmtId="0" fontId="57" fillId="0" borderId="17" xfId="1335" applyFont="1" applyBorder="1" applyAlignment="1">
      <alignment horizontal="center" vertical="center"/>
    </xf>
    <xf numFmtId="176" fontId="1" fillId="0" borderId="17" xfId="0" applyNumberFormat="1" applyFont="1" applyBorder="1">
      <alignment vertical="center"/>
    </xf>
    <xf numFmtId="176" fontId="1" fillId="29" borderId="17" xfId="0" applyNumberFormat="1" applyFont="1" applyFill="1" applyBorder="1">
      <alignment vertical="center"/>
    </xf>
    <xf numFmtId="0" fontId="55" fillId="0" borderId="0" xfId="0" applyNumberFormat="1" applyFont="1" applyAlignment="1">
      <alignment horizontal="center" vertical="center"/>
    </xf>
    <xf numFmtId="0" fontId="55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59" fillId="29" borderId="17" xfId="1384" applyFont="1" applyFill="1" applyBorder="1" applyAlignment="1">
      <alignment horizontal="center" vertical="center" wrapText="1"/>
    </xf>
    <xf numFmtId="179" fontId="46" fillId="2" borderId="0" xfId="0" applyNumberFormat="1" applyFont="1" applyFill="1">
      <alignment vertical="center"/>
    </xf>
    <xf numFmtId="0" fontId="44" fillId="0" borderId="17" xfId="1150" applyFont="1" applyBorder="1" applyAlignment="1">
      <alignment horizontal="center" vertical="center" shrinkToFit="1"/>
    </xf>
    <xf numFmtId="0" fontId="46" fillId="2" borderId="17" xfId="1123" applyNumberFormat="1" applyFont="1" applyFill="1" applyBorder="1" applyAlignment="1">
      <alignment horizontal="center" vertical="center"/>
    </xf>
    <xf numFmtId="0" fontId="44" fillId="0" borderId="17" xfId="1150" applyFont="1" applyBorder="1" applyAlignment="1">
      <alignment horizontal="center" vertical="center"/>
    </xf>
    <xf numFmtId="0" fontId="44" fillId="0" borderId="17" xfId="1200" applyFont="1" applyBorder="1" applyAlignment="1">
      <alignment horizontal="center" vertical="center" shrinkToFit="1"/>
    </xf>
    <xf numFmtId="0" fontId="60" fillId="29" borderId="17" xfId="1123" applyNumberFormat="1" applyFont="1" applyFill="1" applyBorder="1" applyAlignment="1">
      <alignment horizontal="center" vertical="center" shrinkToFit="1"/>
    </xf>
    <xf numFmtId="0" fontId="46" fillId="29" borderId="17" xfId="1123" applyNumberFormat="1" applyFont="1" applyFill="1" applyBorder="1" applyAlignment="1">
      <alignment horizontal="center" vertical="center"/>
    </xf>
    <xf numFmtId="0" fontId="46" fillId="29" borderId="17" xfId="0" applyNumberFormat="1" applyFont="1" applyFill="1" applyBorder="1" applyAlignment="1">
      <alignment horizontal="center" vertical="center"/>
    </xf>
    <xf numFmtId="0" fontId="60" fillId="2" borderId="17" xfId="1123" applyNumberFormat="1" applyFont="1" applyFill="1" applyBorder="1" applyAlignment="1">
      <alignment horizontal="center" vertical="center" shrinkToFit="1"/>
    </xf>
    <xf numFmtId="179" fontId="0" fillId="0" borderId="0" xfId="0" applyNumberFormat="1">
      <alignment vertical="center"/>
    </xf>
    <xf numFmtId="179" fontId="0" fillId="2" borderId="0" xfId="0" applyNumberFormat="1" applyFill="1">
      <alignment vertical="center"/>
    </xf>
    <xf numFmtId="0" fontId="46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3" fillId="2" borderId="17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46" fillId="0" borderId="17" xfId="0" applyNumberFormat="1" applyFont="1" applyBorder="1" applyAlignment="1">
      <alignment horizontal="center" vertical="center"/>
    </xf>
    <xf numFmtId="176" fontId="46" fillId="0" borderId="17" xfId="0" applyNumberFormat="1" applyFont="1" applyBorder="1">
      <alignment vertical="center"/>
    </xf>
    <xf numFmtId="0" fontId="46" fillId="0" borderId="0" xfId="0" applyFont="1">
      <alignment vertical="center"/>
    </xf>
    <xf numFmtId="0" fontId="64" fillId="0" borderId="0" xfId="0" applyFont="1">
      <alignment vertical="center"/>
    </xf>
    <xf numFmtId="0" fontId="0" fillId="0" borderId="0" xfId="0" applyFont="1">
      <alignment vertical="center"/>
    </xf>
    <xf numFmtId="0" fontId="64" fillId="0" borderId="17" xfId="0" applyFont="1" applyBorder="1">
      <alignment vertical="center"/>
    </xf>
    <xf numFmtId="0" fontId="67" fillId="0" borderId="17" xfId="0" applyNumberFormat="1" applyFont="1" applyFill="1" applyBorder="1">
      <alignment vertical="center"/>
    </xf>
    <xf numFmtId="176" fontId="67" fillId="0" borderId="17" xfId="0" applyNumberFormat="1" applyFont="1" applyFill="1" applyBorder="1">
      <alignment vertical="center"/>
    </xf>
    <xf numFmtId="176" fontId="64" fillId="0" borderId="17" xfId="0" applyNumberFormat="1" applyFont="1" applyBorder="1">
      <alignment vertical="center"/>
    </xf>
    <xf numFmtId="0" fontId="68" fillId="0" borderId="17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4" fillId="0" borderId="17" xfId="2006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80" fontId="71" fillId="0" borderId="0" xfId="0" applyNumberFormat="1" applyFont="1" applyFill="1" applyAlignment="1">
      <alignment horizontal="center" vertical="center" wrapText="1"/>
    </xf>
    <xf numFmtId="180" fontId="66" fillId="0" borderId="0" xfId="0" applyNumberFormat="1" applyFont="1" applyFill="1" applyAlignment="1">
      <alignment horizontal="center" vertical="center" wrapText="1"/>
    </xf>
    <xf numFmtId="180" fontId="66" fillId="0" borderId="0" xfId="0" applyNumberFormat="1" applyFont="1" applyFill="1" applyAlignment="1">
      <alignment horizontal="center" vertical="center"/>
    </xf>
    <xf numFmtId="180" fontId="66" fillId="2" borderId="0" xfId="0" applyNumberFormat="1" applyFont="1" applyFill="1" applyAlignment="1">
      <alignment horizontal="center" vertical="center" wrapText="1"/>
    </xf>
    <xf numFmtId="180" fontId="66" fillId="0" borderId="0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" fillId="31" borderId="17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0" xfId="0" applyFont="1" applyFill="1" applyAlignment="1"/>
    <xf numFmtId="0" fontId="0" fillId="0" borderId="0" xfId="0" applyAlignment="1"/>
    <xf numFmtId="0" fontId="58" fillId="0" borderId="17" xfId="0" applyFont="1" applyFill="1" applyBorder="1" applyAlignment="1">
      <alignment horizontal="center" vertical="center"/>
    </xf>
    <xf numFmtId="180" fontId="58" fillId="0" borderId="17" xfId="0" applyNumberFormat="1" applyFont="1" applyFill="1" applyBorder="1" applyAlignment="1">
      <alignment horizontal="center" vertical="center"/>
    </xf>
    <xf numFmtId="180" fontId="58" fillId="0" borderId="17" xfId="0" applyNumberFormat="1" applyFont="1" applyFill="1" applyBorder="1" applyAlignment="1">
      <alignment horizontal="center" vertical="center" wrapText="1"/>
    </xf>
    <xf numFmtId="176" fontId="58" fillId="0" borderId="17" xfId="2007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 readingOrder="1"/>
    </xf>
    <xf numFmtId="0" fontId="4" fillId="0" borderId="17" xfId="2008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 vertical="center" wrapText="1" readingOrder="1"/>
    </xf>
    <xf numFmtId="176" fontId="4" fillId="0" borderId="17" xfId="0" applyNumberFormat="1" applyFont="1" applyFill="1" applyBorder="1" applyAlignment="1">
      <alignment horizontal="center" vertical="center" wrapText="1" readingOrder="1"/>
    </xf>
    <xf numFmtId="180" fontId="4" fillId="0" borderId="20" xfId="0" applyNumberFormat="1" applyFont="1" applyFill="1" applyBorder="1" applyAlignment="1">
      <alignment horizontal="center" vertical="center" wrapText="1" readingOrder="1"/>
    </xf>
    <xf numFmtId="0" fontId="58" fillId="0" borderId="17" xfId="2008" applyFont="1" applyFill="1" applyBorder="1" applyAlignment="1">
      <alignment horizontal="center" vertical="center" wrapText="1"/>
    </xf>
    <xf numFmtId="180" fontId="4" fillId="0" borderId="17" xfId="2008" applyNumberFormat="1" applyFont="1" applyFill="1" applyBorder="1" applyAlignment="1">
      <alignment horizontal="center" vertical="center" wrapText="1"/>
    </xf>
    <xf numFmtId="176" fontId="4" fillId="0" borderId="17" xfId="2007" applyNumberFormat="1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6" fontId="58" fillId="0" borderId="17" xfId="2007" applyNumberFormat="1" applyFont="1" applyFill="1" applyBorder="1" applyAlignment="1">
      <alignment horizontal="center" vertical="center"/>
    </xf>
    <xf numFmtId="180" fontId="42" fillId="0" borderId="0" xfId="0" applyNumberFormat="1" applyFont="1" applyFill="1" applyAlignment="1"/>
    <xf numFmtId="176" fontId="42" fillId="0" borderId="0" xfId="0" applyNumberFormat="1" applyFont="1" applyFill="1" applyAlignment="1"/>
    <xf numFmtId="0" fontId="4" fillId="0" borderId="17" xfId="0" applyFont="1" applyFill="1" applyBorder="1" applyAlignment="1">
      <alignment horizontal="center" vertical="center" wrapText="1"/>
    </xf>
    <xf numFmtId="180" fontId="58" fillId="0" borderId="17" xfId="2008" applyNumberFormat="1" applyFont="1" applyFill="1" applyBorder="1" applyAlignment="1">
      <alignment horizontal="center" vertical="center" wrapText="1"/>
    </xf>
    <xf numFmtId="0" fontId="4" fillId="0" borderId="21" xfId="2008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 readingOrder="1"/>
    </xf>
    <xf numFmtId="0" fontId="4" fillId="0" borderId="17" xfId="2008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 readingOrder="1"/>
    </xf>
    <xf numFmtId="0" fontId="58" fillId="0" borderId="20" xfId="0" applyFont="1" applyFill="1" applyBorder="1" applyAlignment="1">
      <alignment horizontal="left" vertical="center" wrapText="1" readingOrder="1"/>
    </xf>
    <xf numFmtId="180" fontId="58" fillId="0" borderId="20" xfId="0" applyNumberFormat="1" applyFont="1" applyFill="1" applyBorder="1" applyAlignment="1">
      <alignment horizontal="center" vertical="center" wrapText="1" readingOrder="1"/>
    </xf>
    <xf numFmtId="176" fontId="58" fillId="0" borderId="20" xfId="0" applyNumberFormat="1" applyFont="1" applyFill="1" applyBorder="1" applyAlignment="1">
      <alignment horizontal="center" vertical="center" wrapText="1" readingOrder="1"/>
    </xf>
    <xf numFmtId="176" fontId="58" fillId="0" borderId="17" xfId="0" applyNumberFormat="1" applyFont="1" applyFill="1" applyBorder="1" applyAlignment="1">
      <alignment horizontal="center" vertical="center" wrapText="1" readingOrder="1"/>
    </xf>
    <xf numFmtId="0" fontId="58" fillId="0" borderId="17" xfId="0" applyFont="1" applyFill="1" applyBorder="1" applyAlignment="1">
      <alignment horizontal="left" vertical="center" wrapText="1" readingOrder="1"/>
    </xf>
    <xf numFmtId="180" fontId="58" fillId="0" borderId="17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/>
    <xf numFmtId="176" fontId="4" fillId="0" borderId="17" xfId="0" applyNumberFormat="1" applyFont="1" applyFill="1" applyBorder="1" applyAlignment="1">
      <alignment vertical="center"/>
    </xf>
    <xf numFmtId="0" fontId="64" fillId="2" borderId="17" xfId="0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180" fontId="46" fillId="2" borderId="17" xfId="0" applyNumberFormat="1" applyFont="1" applyFill="1" applyBorder="1" applyAlignment="1">
      <alignment horizontal="center" vertical="center" wrapText="1"/>
    </xf>
    <xf numFmtId="180" fontId="67" fillId="2" borderId="17" xfId="1123" applyNumberFormat="1" applyFont="1" applyFill="1" applyBorder="1" applyAlignment="1">
      <alignment horizontal="center" vertical="center" wrapText="1"/>
    </xf>
    <xf numFmtId="176" fontId="46" fillId="2" borderId="17" xfId="0" applyNumberFormat="1" applyFont="1" applyFill="1" applyBorder="1" applyAlignment="1">
      <alignment horizontal="center" vertical="center" wrapText="1"/>
    </xf>
    <xf numFmtId="180" fontId="47" fillId="2" borderId="17" xfId="0" applyNumberFormat="1" applyFont="1" applyFill="1" applyBorder="1" applyAlignment="1">
      <alignment horizontal="center" vertical="center" wrapText="1"/>
    </xf>
    <xf numFmtId="176" fontId="46" fillId="2" borderId="1" xfId="0" applyNumberFormat="1" applyFont="1" applyFill="1" applyBorder="1" applyAlignment="1">
      <alignment horizontal="center" vertical="center" wrapText="1"/>
    </xf>
    <xf numFmtId="176" fontId="46" fillId="2" borderId="22" xfId="0" applyNumberFormat="1" applyFont="1" applyFill="1" applyBorder="1" applyAlignment="1">
      <alignment horizontal="center" vertical="center"/>
    </xf>
    <xf numFmtId="176" fontId="46" fillId="2" borderId="23" xfId="0" applyNumberFormat="1" applyFont="1" applyFill="1" applyBorder="1" applyAlignment="1">
      <alignment horizontal="center" vertical="center"/>
    </xf>
    <xf numFmtId="176" fontId="46" fillId="2" borderId="17" xfId="0" applyNumberFormat="1" applyFont="1" applyFill="1" applyBorder="1" applyAlignment="1">
      <alignment horizontal="center" vertical="center"/>
    </xf>
    <xf numFmtId="176" fontId="46" fillId="2" borderId="23" xfId="0" applyNumberFormat="1" applyFont="1" applyFill="1" applyBorder="1" applyAlignment="1">
      <alignment horizontal="center" vertical="center" wrapText="1"/>
    </xf>
    <xf numFmtId="180" fontId="46" fillId="2" borderId="20" xfId="0" applyNumberFormat="1" applyFont="1" applyFill="1" applyBorder="1" applyAlignment="1">
      <alignment horizontal="center" vertical="center"/>
    </xf>
    <xf numFmtId="176" fontId="46" fillId="2" borderId="20" xfId="0" applyNumberFormat="1" applyFont="1" applyFill="1" applyBorder="1" applyAlignment="1">
      <alignment horizontal="center" vertical="center"/>
    </xf>
    <xf numFmtId="176" fontId="46" fillId="2" borderId="24" xfId="0" applyNumberFormat="1" applyFont="1" applyFill="1" applyBorder="1" applyAlignment="1">
      <alignment horizontal="center" vertical="center"/>
    </xf>
    <xf numFmtId="176" fontId="46" fillId="2" borderId="25" xfId="0" applyNumberFormat="1" applyFont="1" applyFill="1" applyBorder="1" applyAlignment="1">
      <alignment horizontal="center" vertical="center"/>
    </xf>
    <xf numFmtId="0" fontId="75" fillId="0" borderId="0" xfId="0" applyNumberFormat="1" applyFont="1" applyAlignment="1">
      <alignment horizontal="right" vertical="center"/>
    </xf>
    <xf numFmtId="0" fontId="76" fillId="0" borderId="17" xfId="0" applyNumberFormat="1" applyFont="1" applyBorder="1" applyAlignment="1">
      <alignment horizontal="center" vertical="center"/>
    </xf>
    <xf numFmtId="0" fontId="76" fillId="0" borderId="17" xfId="0" applyNumberFormat="1" applyFont="1" applyFill="1" applyBorder="1" applyAlignment="1">
      <alignment horizontal="center" vertical="center"/>
    </xf>
    <xf numFmtId="176" fontId="77" fillId="0" borderId="17" xfId="0" applyNumberFormat="1" applyFont="1" applyBorder="1">
      <alignment vertical="center"/>
    </xf>
    <xf numFmtId="0" fontId="76" fillId="0" borderId="17" xfId="0" applyNumberFormat="1" applyFont="1" applyBorder="1" applyAlignment="1">
      <alignment horizontal="center" vertical="center" wrapText="1"/>
    </xf>
    <xf numFmtId="176" fontId="76" fillId="0" borderId="17" xfId="0" applyNumberFormat="1" applyFont="1" applyBorder="1">
      <alignment vertical="center"/>
    </xf>
    <xf numFmtId="0" fontId="0" fillId="0" borderId="0" xfId="0" applyNumberFormat="1" applyAlignment="1">
      <alignment horizontal="center" vertical="center"/>
    </xf>
    <xf numFmtId="0" fontId="7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74" fillId="0" borderId="15" xfId="0" applyNumberFormat="1" applyFon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37" fillId="2" borderId="0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NumberFormat="1" applyFont="1" applyFill="1" applyBorder="1" applyAlignment="1" applyProtection="1">
      <alignment horizontal="center" vertical="center"/>
      <protection locked="0"/>
    </xf>
    <xf numFmtId="0" fontId="61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63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8" fillId="2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46" fillId="29" borderId="11" xfId="0" applyNumberFormat="1" applyFont="1" applyFill="1" applyBorder="1" applyAlignment="1">
      <alignment horizontal="center" vertical="center"/>
    </xf>
    <xf numFmtId="0" fontId="46" fillId="29" borderId="1" xfId="0" applyNumberFormat="1" applyFont="1" applyFill="1" applyBorder="1" applyAlignment="1">
      <alignment horizontal="center" vertical="center"/>
    </xf>
    <xf numFmtId="0" fontId="49" fillId="29" borderId="13" xfId="0" applyNumberFormat="1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51" fillId="0" borderId="15" xfId="0" applyNumberFormat="1" applyFont="1" applyBorder="1" applyAlignment="1">
      <alignment horizontal="center" vertical="center"/>
    </xf>
    <xf numFmtId="179" fontId="52" fillId="0" borderId="15" xfId="0" applyNumberFormat="1" applyFont="1" applyBorder="1" applyAlignment="1">
      <alignment horizontal="center" vertical="center"/>
    </xf>
    <xf numFmtId="0" fontId="42" fillId="29" borderId="17" xfId="1094" applyNumberFormat="1" applyFont="1" applyFill="1" applyBorder="1" applyAlignment="1">
      <alignment horizontal="center" vertical="center"/>
    </xf>
    <xf numFmtId="0" fontId="55" fillId="0" borderId="17" xfId="2005" applyNumberFormat="1" applyFont="1" applyBorder="1" applyAlignment="1">
      <alignment horizontal="center" vertical="center"/>
    </xf>
    <xf numFmtId="0" fontId="42" fillId="29" borderId="17" xfId="2005" applyNumberFormat="1" applyFont="1" applyFill="1" applyBorder="1" applyAlignment="1">
      <alignment horizontal="center" vertical="center" wrapText="1"/>
    </xf>
    <xf numFmtId="179" fontId="55" fillId="29" borderId="20" xfId="0" applyNumberFormat="1" applyFont="1" applyFill="1" applyBorder="1" applyAlignment="1">
      <alignment horizontal="center" vertical="center"/>
    </xf>
    <xf numFmtId="179" fontId="55" fillId="29" borderId="12" xfId="0" applyNumberFormat="1" applyFont="1" applyFill="1" applyBorder="1" applyAlignment="1">
      <alignment horizontal="center" vertical="center"/>
    </xf>
    <xf numFmtId="179" fontId="55" fillId="29" borderId="1" xfId="0" applyNumberFormat="1" applyFont="1" applyFill="1" applyBorder="1" applyAlignment="1">
      <alignment horizontal="center" vertical="center"/>
    </xf>
    <xf numFmtId="0" fontId="52" fillId="2" borderId="15" xfId="2001" applyNumberFormat="1" applyFont="1" applyFill="1" applyBorder="1" applyAlignment="1">
      <alignment horizontal="center" vertical="center"/>
    </xf>
    <xf numFmtId="0" fontId="52" fillId="2" borderId="15" xfId="2001" applyNumberFormat="1" applyFont="1" applyFill="1" applyBorder="1" applyAlignment="1">
      <alignment vertical="center"/>
    </xf>
    <xf numFmtId="179" fontId="55" fillId="29" borderId="17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180" fontId="72" fillId="0" borderId="15" xfId="0" applyNumberFormat="1" applyFont="1" applyFill="1" applyBorder="1" applyAlignment="1">
      <alignment horizontal="center" vertical="center"/>
    </xf>
    <xf numFmtId="0" fontId="4" fillId="0" borderId="20" xfId="2008" applyFont="1" applyFill="1" applyBorder="1" applyAlignment="1">
      <alignment horizontal="center" vertical="center" wrapText="1"/>
    </xf>
    <xf numFmtId="0" fontId="4" fillId="0" borderId="12" xfId="2008" applyFont="1" applyFill="1" applyBorder="1" applyAlignment="1">
      <alignment horizontal="center" vertical="center" wrapText="1"/>
    </xf>
    <xf numFmtId="0" fontId="4" fillId="0" borderId="1" xfId="2008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80" fontId="4" fillId="0" borderId="20" xfId="2008" applyNumberFormat="1" applyFont="1" applyFill="1" applyBorder="1" applyAlignment="1">
      <alignment horizontal="center" vertical="center" wrapText="1"/>
    </xf>
    <xf numFmtId="180" fontId="4" fillId="0" borderId="1" xfId="2008" applyNumberFormat="1" applyFont="1" applyFill="1" applyBorder="1" applyAlignment="1">
      <alignment horizontal="center" vertical="center" wrapText="1"/>
    </xf>
    <xf numFmtId="176" fontId="4" fillId="0" borderId="20" xfId="2007" applyNumberFormat="1" applyFont="1" applyFill="1" applyBorder="1" applyAlignment="1">
      <alignment horizontal="center" vertical="center" wrapText="1"/>
    </xf>
    <xf numFmtId="176" fontId="4" fillId="0" borderId="1" xfId="2007" applyNumberFormat="1" applyFont="1" applyFill="1" applyBorder="1" applyAlignment="1">
      <alignment horizontal="center" vertical="center" wrapText="1"/>
    </xf>
    <xf numFmtId="180" fontId="4" fillId="0" borderId="12" xfId="2008" applyNumberFormat="1" applyFont="1" applyFill="1" applyBorder="1" applyAlignment="1">
      <alignment horizontal="center" vertical="center" wrapText="1"/>
    </xf>
    <xf numFmtId="176" fontId="4" fillId="0" borderId="12" xfId="2007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20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180" fontId="71" fillId="0" borderId="0" xfId="0" applyNumberFormat="1" applyFont="1" applyFill="1" applyAlignment="1">
      <alignment horizontal="center" vertical="center" wrapText="1"/>
    </xf>
  </cellXfs>
  <cellStyles count="2011">
    <cellStyle name="20% - 强调文字颜色 1 2" xfId="2"/>
    <cellStyle name="20% - 强调文字颜色 1 2 2" xfId="3"/>
    <cellStyle name="20% - 强调文字颜色 1 2 2 2" xfId="4"/>
    <cellStyle name="20% - 强调文字颜色 1 2 2 2 2" xfId="5"/>
    <cellStyle name="20% - 强调文字颜色 1 2 2 3" xfId="6"/>
    <cellStyle name="20% - 强调文字颜色 1 2 3" xfId="7"/>
    <cellStyle name="20% - 强调文字颜色 1 2 3 2" xfId="8"/>
    <cellStyle name="20% - 强调文字颜色 1 2 4" xfId="9"/>
    <cellStyle name="20% - 强调文字颜色 1 3" xfId="10"/>
    <cellStyle name="20% - 强调文字颜色 1 3 2" xfId="11"/>
    <cellStyle name="20% - 强调文字颜色 1 3 2 2" xfId="12"/>
    <cellStyle name="20% - 强调文字颜色 1 3 2 2 2" xfId="13"/>
    <cellStyle name="20% - 强调文字颜色 1 3 2 3" xfId="14"/>
    <cellStyle name="20% - 强调文字颜色 1 3 3" xfId="15"/>
    <cellStyle name="20% - 强调文字颜色 1 3 3 2" xfId="16"/>
    <cellStyle name="20% - 强调文字颜色 1 3 4" xfId="17"/>
    <cellStyle name="20% - 强调文字颜色 1 4" xfId="18"/>
    <cellStyle name="20% - 强调文字颜色 1 4 2" xfId="19"/>
    <cellStyle name="20% - 强调文字颜色 1 4 2 2" xfId="20"/>
    <cellStyle name="20% - 强调文字颜色 1 4 2 2 2" xfId="21"/>
    <cellStyle name="20% - 强调文字颜色 1 4 2 3" xfId="22"/>
    <cellStyle name="20% - 强调文字颜色 1 4 3" xfId="23"/>
    <cellStyle name="20% - 强调文字颜色 1 4 3 2" xfId="24"/>
    <cellStyle name="20% - 强调文字颜色 1 4 4" xfId="25"/>
    <cellStyle name="20% - 强调文字颜色 1 5" xfId="26"/>
    <cellStyle name="20% - 强调文字颜色 1 5 2" xfId="27"/>
    <cellStyle name="20% - 强调文字颜色 1 5 2 2" xfId="28"/>
    <cellStyle name="20% - 强调文字颜色 1 5 3" xfId="29"/>
    <cellStyle name="20% - 强调文字颜色 1 6" xfId="30"/>
    <cellStyle name="20% - 强调文字颜色 1 6 2" xfId="31"/>
    <cellStyle name="20% - 强调文字颜色 1 6 2 2" xfId="32"/>
    <cellStyle name="20% - 强调文字颜色 1 6 3" xfId="33"/>
    <cellStyle name="20% - 强调文字颜色 1 7" xfId="34"/>
    <cellStyle name="20% - 强调文字颜色 1 7 2" xfId="35"/>
    <cellStyle name="20% - 强调文字颜色 1 7 2 2" xfId="36"/>
    <cellStyle name="20% - 强调文字颜色 1 7 3" xfId="37"/>
    <cellStyle name="20% - 强调文字颜色 2 2" xfId="38"/>
    <cellStyle name="20% - 强调文字颜色 2 2 2" xfId="39"/>
    <cellStyle name="20% - 强调文字颜色 2 2 2 2" xfId="40"/>
    <cellStyle name="20% - 强调文字颜色 2 2 2 2 2" xfId="41"/>
    <cellStyle name="20% - 强调文字颜色 2 2 2 3" xfId="42"/>
    <cellStyle name="20% - 强调文字颜色 2 2 3" xfId="43"/>
    <cellStyle name="20% - 强调文字颜色 2 2 3 2" xfId="44"/>
    <cellStyle name="20% - 强调文字颜色 2 2 4" xfId="45"/>
    <cellStyle name="20% - 强调文字颜色 2 3" xfId="46"/>
    <cellStyle name="20% - 强调文字颜色 2 3 2" xfId="47"/>
    <cellStyle name="20% - 强调文字颜色 2 3 2 2" xfId="48"/>
    <cellStyle name="20% - 强调文字颜色 2 3 2 2 2" xfId="49"/>
    <cellStyle name="20% - 强调文字颜色 2 3 2 3" xfId="50"/>
    <cellStyle name="20% - 强调文字颜色 2 3 3" xfId="51"/>
    <cellStyle name="20% - 强调文字颜色 2 3 3 2" xfId="52"/>
    <cellStyle name="20% - 强调文字颜色 2 3 4" xfId="53"/>
    <cellStyle name="20% - 强调文字颜色 2 4" xfId="54"/>
    <cellStyle name="20% - 强调文字颜色 2 4 2" xfId="55"/>
    <cellStyle name="20% - 强调文字颜色 2 4 2 2" xfId="56"/>
    <cellStyle name="20% - 强调文字颜色 2 4 2 2 2" xfId="57"/>
    <cellStyle name="20% - 强调文字颜色 2 4 2 3" xfId="58"/>
    <cellStyle name="20% - 强调文字颜色 2 4 3" xfId="59"/>
    <cellStyle name="20% - 强调文字颜色 2 4 3 2" xfId="60"/>
    <cellStyle name="20% - 强调文字颜色 2 4 4" xfId="61"/>
    <cellStyle name="20% - 强调文字颜色 2 5" xfId="62"/>
    <cellStyle name="20% - 强调文字颜色 2 5 2" xfId="63"/>
    <cellStyle name="20% - 强调文字颜色 2 5 2 2" xfId="64"/>
    <cellStyle name="20% - 强调文字颜色 2 5 3" xfId="65"/>
    <cellStyle name="20% - 强调文字颜色 2 6" xfId="66"/>
    <cellStyle name="20% - 强调文字颜色 2 6 2" xfId="67"/>
    <cellStyle name="20% - 强调文字颜色 2 6 2 2" xfId="68"/>
    <cellStyle name="20% - 强调文字颜色 2 6 3" xfId="69"/>
    <cellStyle name="20% - 强调文字颜色 2 7" xfId="70"/>
    <cellStyle name="20% - 强调文字颜色 2 7 2" xfId="71"/>
    <cellStyle name="20% - 强调文字颜色 2 7 2 2" xfId="72"/>
    <cellStyle name="20% - 强调文字颜色 2 7 3" xfId="73"/>
    <cellStyle name="20% - 强调文字颜色 3 2" xfId="74"/>
    <cellStyle name="20% - 强调文字颜色 3 2 2" xfId="75"/>
    <cellStyle name="20% - 强调文字颜色 3 2 2 2" xfId="76"/>
    <cellStyle name="20% - 强调文字颜色 3 2 2 2 2" xfId="77"/>
    <cellStyle name="20% - 强调文字颜色 3 2 2 3" xfId="78"/>
    <cellStyle name="20% - 强调文字颜色 3 2 3" xfId="79"/>
    <cellStyle name="20% - 强调文字颜色 3 2 3 2" xfId="80"/>
    <cellStyle name="20% - 强调文字颜色 3 2 4" xfId="81"/>
    <cellStyle name="20% - 强调文字颜色 3 3" xfId="82"/>
    <cellStyle name="20% - 强调文字颜色 3 3 2" xfId="83"/>
    <cellStyle name="20% - 强调文字颜色 3 3 2 2" xfId="84"/>
    <cellStyle name="20% - 强调文字颜色 3 3 2 2 2" xfId="85"/>
    <cellStyle name="20% - 强调文字颜色 3 3 2 3" xfId="86"/>
    <cellStyle name="20% - 强调文字颜色 3 3 3" xfId="87"/>
    <cellStyle name="20% - 强调文字颜色 3 3 3 2" xfId="88"/>
    <cellStyle name="20% - 强调文字颜色 3 3 4" xfId="89"/>
    <cellStyle name="20% - 强调文字颜色 3 4" xfId="90"/>
    <cellStyle name="20% - 强调文字颜色 3 4 2" xfId="91"/>
    <cellStyle name="20% - 强调文字颜色 3 4 2 2" xfId="92"/>
    <cellStyle name="20% - 强调文字颜色 3 4 2 2 2" xfId="93"/>
    <cellStyle name="20% - 强调文字颜色 3 4 2 3" xfId="94"/>
    <cellStyle name="20% - 强调文字颜色 3 4 3" xfId="95"/>
    <cellStyle name="20% - 强调文字颜色 3 4 3 2" xfId="96"/>
    <cellStyle name="20% - 强调文字颜色 3 4 4" xfId="97"/>
    <cellStyle name="20% - 强调文字颜色 3 5" xfId="98"/>
    <cellStyle name="20% - 强调文字颜色 3 5 2" xfId="99"/>
    <cellStyle name="20% - 强调文字颜色 3 5 2 2" xfId="100"/>
    <cellStyle name="20% - 强调文字颜色 3 5 3" xfId="101"/>
    <cellStyle name="20% - 强调文字颜色 3 6" xfId="102"/>
    <cellStyle name="20% - 强调文字颜色 3 6 2" xfId="103"/>
    <cellStyle name="20% - 强调文字颜色 3 6 2 2" xfId="104"/>
    <cellStyle name="20% - 强调文字颜色 3 6 3" xfId="105"/>
    <cellStyle name="20% - 强调文字颜色 3 7" xfId="106"/>
    <cellStyle name="20% - 强调文字颜色 3 7 2" xfId="107"/>
    <cellStyle name="20% - 强调文字颜色 3 7 2 2" xfId="108"/>
    <cellStyle name="20% - 强调文字颜色 3 7 3" xfId="109"/>
    <cellStyle name="20% - 强调文字颜色 4 2" xfId="110"/>
    <cellStyle name="20% - 强调文字颜色 4 2 2" xfId="111"/>
    <cellStyle name="20% - 强调文字颜色 4 2 2 2" xfId="112"/>
    <cellStyle name="20% - 强调文字颜色 4 2 2 2 2" xfId="113"/>
    <cellStyle name="20% - 强调文字颜色 4 2 2 3" xfId="114"/>
    <cellStyle name="20% - 强调文字颜色 4 2 3" xfId="115"/>
    <cellStyle name="20% - 强调文字颜色 4 2 3 2" xfId="116"/>
    <cellStyle name="20% - 强调文字颜色 4 2 4" xfId="117"/>
    <cellStyle name="20% - 强调文字颜色 4 3" xfId="118"/>
    <cellStyle name="20% - 强调文字颜色 4 3 2" xfId="119"/>
    <cellStyle name="20% - 强调文字颜色 4 3 2 2" xfId="120"/>
    <cellStyle name="20% - 强调文字颜色 4 3 2 2 2" xfId="121"/>
    <cellStyle name="20% - 强调文字颜色 4 3 2 3" xfId="122"/>
    <cellStyle name="20% - 强调文字颜色 4 3 3" xfId="123"/>
    <cellStyle name="20% - 强调文字颜色 4 3 3 2" xfId="124"/>
    <cellStyle name="20% - 强调文字颜色 4 3 4" xfId="125"/>
    <cellStyle name="20% - 强调文字颜色 4 4" xfId="126"/>
    <cellStyle name="20% - 强调文字颜色 4 4 2" xfId="127"/>
    <cellStyle name="20% - 强调文字颜色 4 4 2 2" xfId="128"/>
    <cellStyle name="20% - 强调文字颜色 4 4 2 2 2" xfId="129"/>
    <cellStyle name="20% - 强调文字颜色 4 4 2 3" xfId="130"/>
    <cellStyle name="20% - 强调文字颜色 4 4 3" xfId="131"/>
    <cellStyle name="20% - 强调文字颜色 4 4 3 2" xfId="132"/>
    <cellStyle name="20% - 强调文字颜色 4 4 4" xfId="133"/>
    <cellStyle name="20% - 强调文字颜色 4 5" xfId="134"/>
    <cellStyle name="20% - 强调文字颜色 4 5 2" xfId="135"/>
    <cellStyle name="20% - 强调文字颜色 4 5 2 2" xfId="136"/>
    <cellStyle name="20% - 强调文字颜色 4 5 3" xfId="137"/>
    <cellStyle name="20% - 强调文字颜色 4 6" xfId="138"/>
    <cellStyle name="20% - 强调文字颜色 4 6 2" xfId="139"/>
    <cellStyle name="20% - 强调文字颜色 4 6 2 2" xfId="140"/>
    <cellStyle name="20% - 强调文字颜色 4 6 3" xfId="141"/>
    <cellStyle name="20% - 强调文字颜色 4 7" xfId="142"/>
    <cellStyle name="20% - 强调文字颜色 4 7 2" xfId="143"/>
    <cellStyle name="20% - 强调文字颜色 4 7 2 2" xfId="144"/>
    <cellStyle name="20% - 强调文字颜色 4 7 3" xfId="145"/>
    <cellStyle name="20% - 强调文字颜色 5 2" xfId="146"/>
    <cellStyle name="20% - 强调文字颜色 5 2 2" xfId="147"/>
    <cellStyle name="20% - 强调文字颜色 5 2 2 2" xfId="148"/>
    <cellStyle name="20% - 强调文字颜色 5 2 2 2 2" xfId="149"/>
    <cellStyle name="20% - 强调文字颜色 5 2 2 3" xfId="150"/>
    <cellStyle name="20% - 强调文字颜色 5 2 3" xfId="151"/>
    <cellStyle name="20% - 强调文字颜色 5 2 3 2" xfId="152"/>
    <cellStyle name="20% - 强调文字颜色 5 2 4" xfId="153"/>
    <cellStyle name="20% - 强调文字颜色 5 3" xfId="154"/>
    <cellStyle name="20% - 强调文字颜色 5 3 2" xfId="155"/>
    <cellStyle name="20% - 强调文字颜色 5 3 2 2" xfId="156"/>
    <cellStyle name="20% - 强调文字颜色 5 3 2 2 2" xfId="157"/>
    <cellStyle name="20% - 强调文字颜色 5 3 2 3" xfId="158"/>
    <cellStyle name="20% - 强调文字颜色 5 3 3" xfId="159"/>
    <cellStyle name="20% - 强调文字颜色 5 3 3 2" xfId="160"/>
    <cellStyle name="20% - 强调文字颜色 5 3 4" xfId="161"/>
    <cellStyle name="20% - 强调文字颜色 5 4" xfId="162"/>
    <cellStyle name="20% - 强调文字颜色 5 4 2" xfId="163"/>
    <cellStyle name="20% - 强调文字颜色 5 4 2 2" xfId="164"/>
    <cellStyle name="20% - 强调文字颜色 5 4 2 2 2" xfId="165"/>
    <cellStyle name="20% - 强调文字颜色 5 4 2 3" xfId="166"/>
    <cellStyle name="20% - 强调文字颜色 5 4 3" xfId="167"/>
    <cellStyle name="20% - 强调文字颜色 5 4 3 2" xfId="168"/>
    <cellStyle name="20% - 强调文字颜色 5 4 4" xfId="169"/>
    <cellStyle name="20% - 强调文字颜色 5 5" xfId="170"/>
    <cellStyle name="20% - 强调文字颜色 5 5 2" xfId="171"/>
    <cellStyle name="20% - 强调文字颜色 5 5 2 2" xfId="172"/>
    <cellStyle name="20% - 强调文字颜色 5 5 3" xfId="173"/>
    <cellStyle name="20% - 强调文字颜色 5 6" xfId="174"/>
    <cellStyle name="20% - 强调文字颜色 5 6 2" xfId="175"/>
    <cellStyle name="20% - 强调文字颜色 5 6 2 2" xfId="176"/>
    <cellStyle name="20% - 强调文字颜色 5 6 3" xfId="177"/>
    <cellStyle name="20% - 强调文字颜色 5 7" xfId="178"/>
    <cellStyle name="20% - 强调文字颜色 5 7 2" xfId="179"/>
    <cellStyle name="20% - 强调文字颜色 5 7 2 2" xfId="180"/>
    <cellStyle name="20% - 强调文字颜色 5 7 3" xfId="181"/>
    <cellStyle name="20% - 强调文字颜色 6 2" xfId="182"/>
    <cellStyle name="20% - 强调文字颜色 6 2 2" xfId="183"/>
    <cellStyle name="20% - 强调文字颜色 6 2 2 2" xfId="184"/>
    <cellStyle name="20% - 强调文字颜色 6 2 2 2 2" xfId="185"/>
    <cellStyle name="20% - 强调文字颜色 6 2 2 3" xfId="186"/>
    <cellStyle name="20% - 强调文字颜色 6 2 3" xfId="187"/>
    <cellStyle name="20% - 强调文字颜色 6 2 3 2" xfId="188"/>
    <cellStyle name="20% - 强调文字颜色 6 2 4" xfId="189"/>
    <cellStyle name="20% - 强调文字颜色 6 3" xfId="190"/>
    <cellStyle name="20% - 强调文字颜色 6 3 2" xfId="191"/>
    <cellStyle name="20% - 强调文字颜色 6 3 2 2" xfId="192"/>
    <cellStyle name="20% - 强调文字颜色 6 3 2 2 2" xfId="193"/>
    <cellStyle name="20% - 强调文字颜色 6 3 2 3" xfId="194"/>
    <cellStyle name="20% - 强调文字颜色 6 3 3" xfId="195"/>
    <cellStyle name="20% - 强调文字颜色 6 3 3 2" xfId="196"/>
    <cellStyle name="20% - 强调文字颜色 6 3 4" xfId="197"/>
    <cellStyle name="20% - 强调文字颜色 6 4" xfId="198"/>
    <cellStyle name="20% - 强调文字颜色 6 4 2" xfId="199"/>
    <cellStyle name="20% - 强调文字颜色 6 4 2 2" xfId="200"/>
    <cellStyle name="20% - 强调文字颜色 6 4 2 2 2" xfId="201"/>
    <cellStyle name="20% - 强调文字颜色 6 4 2 3" xfId="202"/>
    <cellStyle name="20% - 强调文字颜色 6 4 3" xfId="203"/>
    <cellStyle name="20% - 强调文字颜色 6 4 3 2" xfId="204"/>
    <cellStyle name="20% - 强调文字颜色 6 4 4" xfId="205"/>
    <cellStyle name="20% - 强调文字颜色 6 5" xfId="206"/>
    <cellStyle name="20% - 强调文字颜色 6 5 2" xfId="207"/>
    <cellStyle name="20% - 强调文字颜色 6 5 2 2" xfId="208"/>
    <cellStyle name="20% - 强调文字颜色 6 5 3" xfId="209"/>
    <cellStyle name="20% - 强调文字颜色 6 6" xfId="210"/>
    <cellStyle name="20% - 强调文字颜色 6 6 2" xfId="211"/>
    <cellStyle name="20% - 强调文字颜色 6 6 2 2" xfId="212"/>
    <cellStyle name="20% - 强调文字颜色 6 6 3" xfId="213"/>
    <cellStyle name="20% - 强调文字颜色 6 7" xfId="214"/>
    <cellStyle name="20% - 强调文字颜色 6 7 2" xfId="215"/>
    <cellStyle name="20% - 强调文字颜色 6 7 2 2" xfId="216"/>
    <cellStyle name="20% - 强调文字颜色 6 7 3" xfId="217"/>
    <cellStyle name="20% - 着色 1 2" xfId="218"/>
    <cellStyle name="20% - 着色 1 2 2" xfId="219"/>
    <cellStyle name="20% - 着色 1 2 2 2" xfId="220"/>
    <cellStyle name="20% - 着色 1 2 2 2 2" xfId="221"/>
    <cellStyle name="20% - 着色 1 2 2 3" xfId="222"/>
    <cellStyle name="20% - 着色 1 2 3" xfId="223"/>
    <cellStyle name="20% - 着色 1 2 3 2" xfId="224"/>
    <cellStyle name="20% - 着色 1 2 4" xfId="225"/>
    <cellStyle name="20% - 着色 1 3" xfId="226"/>
    <cellStyle name="20% - 着色 1 3 2" xfId="227"/>
    <cellStyle name="20% - 着色 1 3 2 2" xfId="228"/>
    <cellStyle name="20% - 着色 1 3 3" xfId="229"/>
    <cellStyle name="20% - 着色 1 4" xfId="230"/>
    <cellStyle name="20% - 着色 1 4 2" xfId="231"/>
    <cellStyle name="20% - 着色 1 4 2 2" xfId="232"/>
    <cellStyle name="20% - 着色 1 4 3" xfId="233"/>
    <cellStyle name="20% - 着色 1 5" xfId="234"/>
    <cellStyle name="20% - 着色 1 5 2" xfId="235"/>
    <cellStyle name="20% - 着色 1 6" xfId="236"/>
    <cellStyle name="20% - 着色 2 2" xfId="237"/>
    <cellStyle name="20% - 着色 2 2 2" xfId="238"/>
    <cellStyle name="20% - 着色 2 2 2 2" xfId="239"/>
    <cellStyle name="20% - 着色 2 2 2 2 2" xfId="240"/>
    <cellStyle name="20% - 着色 2 2 2 3" xfId="241"/>
    <cellStyle name="20% - 着色 2 2 3" xfId="242"/>
    <cellStyle name="20% - 着色 2 2 3 2" xfId="243"/>
    <cellStyle name="20% - 着色 2 2 4" xfId="244"/>
    <cellStyle name="20% - 着色 2 3" xfId="245"/>
    <cellStyle name="20% - 着色 2 3 2" xfId="246"/>
    <cellStyle name="20% - 着色 2 3 2 2" xfId="247"/>
    <cellStyle name="20% - 着色 2 3 3" xfId="248"/>
    <cellStyle name="20% - 着色 2 4" xfId="249"/>
    <cellStyle name="20% - 着色 2 4 2" xfId="250"/>
    <cellStyle name="20% - 着色 2 4 2 2" xfId="251"/>
    <cellStyle name="20% - 着色 2 4 3" xfId="252"/>
    <cellStyle name="20% - 着色 2 5" xfId="253"/>
    <cellStyle name="20% - 着色 2 5 2" xfId="254"/>
    <cellStyle name="20% - 着色 2 6" xfId="255"/>
    <cellStyle name="20% - 着色 3 2" xfId="256"/>
    <cellStyle name="20% - 着色 3 2 2" xfId="257"/>
    <cellStyle name="20% - 着色 3 2 2 2" xfId="258"/>
    <cellStyle name="20% - 着色 3 2 2 2 2" xfId="259"/>
    <cellStyle name="20% - 着色 3 2 2 3" xfId="260"/>
    <cellStyle name="20% - 着色 3 2 3" xfId="261"/>
    <cellStyle name="20% - 着色 3 2 3 2" xfId="262"/>
    <cellStyle name="20% - 着色 3 2 4" xfId="263"/>
    <cellStyle name="20% - 着色 3 3" xfId="264"/>
    <cellStyle name="20% - 着色 3 3 2" xfId="265"/>
    <cellStyle name="20% - 着色 3 3 2 2" xfId="266"/>
    <cellStyle name="20% - 着色 3 3 3" xfId="267"/>
    <cellStyle name="20% - 着色 3 4" xfId="268"/>
    <cellStyle name="20% - 着色 3 4 2" xfId="269"/>
    <cellStyle name="20% - 着色 3 4 2 2" xfId="270"/>
    <cellStyle name="20% - 着色 3 4 3" xfId="271"/>
    <cellStyle name="20% - 着色 3 5" xfId="272"/>
    <cellStyle name="20% - 着色 3 5 2" xfId="273"/>
    <cellStyle name="20% - 着色 3 6" xfId="274"/>
    <cellStyle name="20% - 着色 4 2" xfId="275"/>
    <cellStyle name="20% - 着色 4 2 2" xfId="276"/>
    <cellStyle name="20% - 着色 4 2 2 2" xfId="277"/>
    <cellStyle name="20% - 着色 4 2 2 2 2" xfId="278"/>
    <cellStyle name="20% - 着色 4 2 2 3" xfId="279"/>
    <cellStyle name="20% - 着色 4 2 3" xfId="280"/>
    <cellStyle name="20% - 着色 4 2 3 2" xfId="281"/>
    <cellStyle name="20% - 着色 4 2 4" xfId="282"/>
    <cellStyle name="20% - 着色 4 3" xfId="283"/>
    <cellStyle name="20% - 着色 4 3 2" xfId="284"/>
    <cellStyle name="20% - 着色 4 3 2 2" xfId="285"/>
    <cellStyle name="20% - 着色 4 3 3" xfId="286"/>
    <cellStyle name="20% - 着色 4 4" xfId="287"/>
    <cellStyle name="20% - 着色 4 4 2" xfId="288"/>
    <cellStyle name="20% - 着色 4 4 2 2" xfId="289"/>
    <cellStyle name="20% - 着色 4 4 3" xfId="290"/>
    <cellStyle name="20% - 着色 4 5" xfId="291"/>
    <cellStyle name="20% - 着色 4 5 2" xfId="292"/>
    <cellStyle name="20% - 着色 4 6" xfId="293"/>
    <cellStyle name="20% - 着色 5 2" xfId="294"/>
    <cellStyle name="20% - 着色 5 2 2" xfId="295"/>
    <cellStyle name="20% - 着色 5 2 2 2" xfId="296"/>
    <cellStyle name="20% - 着色 5 2 2 2 2" xfId="297"/>
    <cellStyle name="20% - 着色 5 2 2 3" xfId="298"/>
    <cellStyle name="20% - 着色 5 2 3" xfId="299"/>
    <cellStyle name="20% - 着色 5 2 3 2" xfId="300"/>
    <cellStyle name="20% - 着色 5 2 4" xfId="301"/>
    <cellStyle name="20% - 着色 5 3" xfId="302"/>
    <cellStyle name="20% - 着色 5 3 2" xfId="303"/>
    <cellStyle name="20% - 着色 5 3 2 2" xfId="304"/>
    <cellStyle name="20% - 着色 5 3 3" xfId="305"/>
    <cellStyle name="20% - 着色 5 4" xfId="306"/>
    <cellStyle name="20% - 着色 5 4 2" xfId="307"/>
    <cellStyle name="20% - 着色 5 4 2 2" xfId="308"/>
    <cellStyle name="20% - 着色 5 4 3" xfId="309"/>
    <cellStyle name="20% - 着色 5 5" xfId="310"/>
    <cellStyle name="20% - 着色 5 5 2" xfId="311"/>
    <cellStyle name="20% - 着色 5 6" xfId="312"/>
    <cellStyle name="20% - 着色 6 2" xfId="313"/>
    <cellStyle name="20% - 着色 6 2 2" xfId="314"/>
    <cellStyle name="20% - 着色 6 2 2 2" xfId="315"/>
    <cellStyle name="20% - 着色 6 2 2 2 2" xfId="316"/>
    <cellStyle name="20% - 着色 6 2 2 3" xfId="317"/>
    <cellStyle name="20% - 着色 6 2 3" xfId="318"/>
    <cellStyle name="20% - 着色 6 2 3 2" xfId="319"/>
    <cellStyle name="20% - 着色 6 2 4" xfId="320"/>
    <cellStyle name="20% - 着色 6 3" xfId="321"/>
    <cellStyle name="20% - 着色 6 3 2" xfId="322"/>
    <cellStyle name="20% - 着色 6 3 2 2" xfId="323"/>
    <cellStyle name="20% - 着色 6 3 3" xfId="324"/>
    <cellStyle name="20% - 着色 6 4" xfId="325"/>
    <cellStyle name="20% - 着色 6 4 2" xfId="326"/>
    <cellStyle name="20% - 着色 6 4 2 2" xfId="327"/>
    <cellStyle name="20% - 着色 6 4 3" xfId="328"/>
    <cellStyle name="20% - 着色 6 5" xfId="329"/>
    <cellStyle name="20% - 着色 6 5 2" xfId="330"/>
    <cellStyle name="20% - 着色 6 6" xfId="331"/>
    <cellStyle name="40% - 强调文字颜色 1 2" xfId="332"/>
    <cellStyle name="40% - 强调文字颜色 1 2 2" xfId="333"/>
    <cellStyle name="40% - 强调文字颜色 1 2 2 2" xfId="334"/>
    <cellStyle name="40% - 强调文字颜色 1 2 2 2 2" xfId="335"/>
    <cellStyle name="40% - 强调文字颜色 1 2 2 3" xfId="336"/>
    <cellStyle name="40% - 强调文字颜色 1 2 3" xfId="337"/>
    <cellStyle name="40% - 强调文字颜色 1 2 3 2" xfId="338"/>
    <cellStyle name="40% - 强调文字颜色 1 2 4" xfId="339"/>
    <cellStyle name="40% - 强调文字颜色 1 3" xfId="340"/>
    <cellStyle name="40% - 强调文字颜色 1 3 2" xfId="341"/>
    <cellStyle name="40% - 强调文字颜色 1 3 2 2" xfId="342"/>
    <cellStyle name="40% - 强调文字颜色 1 3 2 2 2" xfId="343"/>
    <cellStyle name="40% - 强调文字颜色 1 3 2 3" xfId="344"/>
    <cellStyle name="40% - 强调文字颜色 1 3 3" xfId="345"/>
    <cellStyle name="40% - 强调文字颜色 1 3 3 2" xfId="346"/>
    <cellStyle name="40% - 强调文字颜色 1 3 4" xfId="347"/>
    <cellStyle name="40% - 强调文字颜色 1 4" xfId="348"/>
    <cellStyle name="40% - 强调文字颜色 1 4 2" xfId="349"/>
    <cellStyle name="40% - 强调文字颜色 1 4 2 2" xfId="350"/>
    <cellStyle name="40% - 强调文字颜色 1 4 2 2 2" xfId="351"/>
    <cellStyle name="40% - 强调文字颜色 1 4 2 3" xfId="352"/>
    <cellStyle name="40% - 强调文字颜色 1 4 3" xfId="353"/>
    <cellStyle name="40% - 强调文字颜色 1 4 3 2" xfId="354"/>
    <cellStyle name="40% - 强调文字颜色 1 4 4" xfId="355"/>
    <cellStyle name="40% - 强调文字颜色 1 5" xfId="356"/>
    <cellStyle name="40% - 强调文字颜色 1 5 2" xfId="357"/>
    <cellStyle name="40% - 强调文字颜色 1 5 2 2" xfId="358"/>
    <cellStyle name="40% - 强调文字颜色 1 5 3" xfId="359"/>
    <cellStyle name="40% - 强调文字颜色 1 6" xfId="360"/>
    <cellStyle name="40% - 强调文字颜色 1 6 2" xfId="361"/>
    <cellStyle name="40% - 强调文字颜色 1 6 2 2" xfId="362"/>
    <cellStyle name="40% - 强调文字颜色 1 6 3" xfId="363"/>
    <cellStyle name="40% - 强调文字颜色 1 7" xfId="364"/>
    <cellStyle name="40% - 强调文字颜色 1 7 2" xfId="365"/>
    <cellStyle name="40% - 强调文字颜色 1 7 2 2" xfId="366"/>
    <cellStyle name="40% - 强调文字颜色 1 7 3" xfId="367"/>
    <cellStyle name="40% - 强调文字颜色 2 2" xfId="368"/>
    <cellStyle name="40% - 强调文字颜色 2 2 2" xfId="369"/>
    <cellStyle name="40% - 强调文字颜色 2 2 2 2" xfId="370"/>
    <cellStyle name="40% - 强调文字颜色 2 2 2 2 2" xfId="371"/>
    <cellStyle name="40% - 强调文字颜色 2 2 2 3" xfId="372"/>
    <cellStyle name="40% - 强调文字颜色 2 2 3" xfId="373"/>
    <cellStyle name="40% - 强调文字颜色 2 2 3 2" xfId="374"/>
    <cellStyle name="40% - 强调文字颜色 2 2 4" xfId="375"/>
    <cellStyle name="40% - 强调文字颜色 2 3" xfId="376"/>
    <cellStyle name="40% - 强调文字颜色 2 3 2" xfId="377"/>
    <cellStyle name="40% - 强调文字颜色 2 3 2 2" xfId="378"/>
    <cellStyle name="40% - 强调文字颜色 2 3 2 2 2" xfId="379"/>
    <cellStyle name="40% - 强调文字颜色 2 3 2 3" xfId="380"/>
    <cellStyle name="40% - 强调文字颜色 2 3 3" xfId="381"/>
    <cellStyle name="40% - 强调文字颜色 2 3 3 2" xfId="382"/>
    <cellStyle name="40% - 强调文字颜色 2 3 4" xfId="383"/>
    <cellStyle name="40% - 强调文字颜色 2 4" xfId="384"/>
    <cellStyle name="40% - 强调文字颜色 2 4 2" xfId="385"/>
    <cellStyle name="40% - 强调文字颜色 2 4 2 2" xfId="386"/>
    <cellStyle name="40% - 强调文字颜色 2 4 2 2 2" xfId="387"/>
    <cellStyle name="40% - 强调文字颜色 2 4 2 3" xfId="388"/>
    <cellStyle name="40% - 强调文字颜色 2 4 3" xfId="389"/>
    <cellStyle name="40% - 强调文字颜色 2 4 3 2" xfId="390"/>
    <cellStyle name="40% - 强调文字颜色 2 4 4" xfId="391"/>
    <cellStyle name="40% - 强调文字颜色 2 5" xfId="392"/>
    <cellStyle name="40% - 强调文字颜色 2 5 2" xfId="393"/>
    <cellStyle name="40% - 强调文字颜色 2 5 2 2" xfId="394"/>
    <cellStyle name="40% - 强调文字颜色 2 5 3" xfId="395"/>
    <cellStyle name="40% - 强调文字颜色 2 6" xfId="396"/>
    <cellStyle name="40% - 强调文字颜色 2 6 2" xfId="397"/>
    <cellStyle name="40% - 强调文字颜色 2 6 2 2" xfId="398"/>
    <cellStyle name="40% - 强调文字颜色 2 6 3" xfId="399"/>
    <cellStyle name="40% - 强调文字颜色 2 7" xfId="400"/>
    <cellStyle name="40% - 强调文字颜色 2 7 2" xfId="401"/>
    <cellStyle name="40% - 强调文字颜色 2 7 2 2" xfId="402"/>
    <cellStyle name="40% - 强调文字颜色 2 7 3" xfId="403"/>
    <cellStyle name="40% - 强调文字颜色 3 2" xfId="404"/>
    <cellStyle name="40% - 强调文字颜色 3 2 2" xfId="405"/>
    <cellStyle name="40% - 强调文字颜色 3 2 2 2" xfId="406"/>
    <cellStyle name="40% - 强调文字颜色 3 2 2 2 2" xfId="407"/>
    <cellStyle name="40% - 强调文字颜色 3 2 2 3" xfId="408"/>
    <cellStyle name="40% - 强调文字颜色 3 2 3" xfId="409"/>
    <cellStyle name="40% - 强调文字颜色 3 2 3 2" xfId="410"/>
    <cellStyle name="40% - 强调文字颜色 3 2 4" xfId="411"/>
    <cellStyle name="40% - 强调文字颜色 3 3" xfId="412"/>
    <cellStyle name="40% - 强调文字颜色 3 3 2" xfId="413"/>
    <cellStyle name="40% - 强调文字颜色 3 3 2 2" xfId="414"/>
    <cellStyle name="40% - 强调文字颜色 3 3 2 2 2" xfId="415"/>
    <cellStyle name="40% - 强调文字颜色 3 3 2 3" xfId="416"/>
    <cellStyle name="40% - 强调文字颜色 3 3 3" xfId="417"/>
    <cellStyle name="40% - 强调文字颜色 3 3 3 2" xfId="418"/>
    <cellStyle name="40% - 强调文字颜色 3 3 4" xfId="419"/>
    <cellStyle name="40% - 强调文字颜色 3 4" xfId="420"/>
    <cellStyle name="40% - 强调文字颜色 3 4 2" xfId="421"/>
    <cellStyle name="40% - 强调文字颜色 3 4 2 2" xfId="422"/>
    <cellStyle name="40% - 强调文字颜色 3 4 2 2 2" xfId="423"/>
    <cellStyle name="40% - 强调文字颜色 3 4 2 3" xfId="424"/>
    <cellStyle name="40% - 强调文字颜色 3 4 3" xfId="425"/>
    <cellStyle name="40% - 强调文字颜色 3 4 3 2" xfId="426"/>
    <cellStyle name="40% - 强调文字颜色 3 4 4" xfId="427"/>
    <cellStyle name="40% - 强调文字颜色 3 5" xfId="428"/>
    <cellStyle name="40% - 强调文字颜色 3 5 2" xfId="429"/>
    <cellStyle name="40% - 强调文字颜色 3 5 2 2" xfId="430"/>
    <cellStyle name="40% - 强调文字颜色 3 5 3" xfId="431"/>
    <cellStyle name="40% - 强调文字颜色 3 6" xfId="432"/>
    <cellStyle name="40% - 强调文字颜色 3 6 2" xfId="433"/>
    <cellStyle name="40% - 强调文字颜色 3 6 2 2" xfId="434"/>
    <cellStyle name="40% - 强调文字颜色 3 6 3" xfId="435"/>
    <cellStyle name="40% - 强调文字颜色 3 7" xfId="436"/>
    <cellStyle name="40% - 强调文字颜色 3 7 2" xfId="437"/>
    <cellStyle name="40% - 强调文字颜色 3 7 2 2" xfId="438"/>
    <cellStyle name="40% - 强调文字颜色 3 7 3" xfId="439"/>
    <cellStyle name="40% - 强调文字颜色 4 2" xfId="440"/>
    <cellStyle name="40% - 强调文字颜色 4 2 2" xfId="441"/>
    <cellStyle name="40% - 强调文字颜色 4 2 2 2" xfId="442"/>
    <cellStyle name="40% - 强调文字颜色 4 2 2 2 2" xfId="443"/>
    <cellStyle name="40% - 强调文字颜色 4 2 2 3" xfId="444"/>
    <cellStyle name="40% - 强调文字颜色 4 2 3" xfId="445"/>
    <cellStyle name="40% - 强调文字颜色 4 2 3 2" xfId="446"/>
    <cellStyle name="40% - 强调文字颜色 4 2 4" xfId="447"/>
    <cellStyle name="40% - 强调文字颜色 4 3" xfId="448"/>
    <cellStyle name="40% - 强调文字颜色 4 3 2" xfId="449"/>
    <cellStyle name="40% - 强调文字颜色 4 3 2 2" xfId="450"/>
    <cellStyle name="40% - 强调文字颜色 4 3 2 2 2" xfId="451"/>
    <cellStyle name="40% - 强调文字颜色 4 3 2 3" xfId="452"/>
    <cellStyle name="40% - 强调文字颜色 4 3 3" xfId="453"/>
    <cellStyle name="40% - 强调文字颜色 4 3 3 2" xfId="454"/>
    <cellStyle name="40% - 强调文字颜色 4 3 4" xfId="455"/>
    <cellStyle name="40% - 强调文字颜色 4 4" xfId="456"/>
    <cellStyle name="40% - 强调文字颜色 4 4 2" xfId="457"/>
    <cellStyle name="40% - 强调文字颜色 4 4 2 2" xfId="458"/>
    <cellStyle name="40% - 强调文字颜色 4 4 2 2 2" xfId="459"/>
    <cellStyle name="40% - 强调文字颜色 4 4 2 3" xfId="460"/>
    <cellStyle name="40% - 强调文字颜色 4 4 3" xfId="461"/>
    <cellStyle name="40% - 强调文字颜色 4 4 3 2" xfId="462"/>
    <cellStyle name="40% - 强调文字颜色 4 4 4" xfId="463"/>
    <cellStyle name="40% - 强调文字颜色 4 5" xfId="464"/>
    <cellStyle name="40% - 强调文字颜色 4 5 2" xfId="465"/>
    <cellStyle name="40% - 强调文字颜色 4 5 2 2" xfId="466"/>
    <cellStyle name="40% - 强调文字颜色 4 5 3" xfId="467"/>
    <cellStyle name="40% - 强调文字颜色 4 6" xfId="468"/>
    <cellStyle name="40% - 强调文字颜色 4 6 2" xfId="469"/>
    <cellStyle name="40% - 强调文字颜色 4 6 2 2" xfId="470"/>
    <cellStyle name="40% - 强调文字颜色 4 6 3" xfId="471"/>
    <cellStyle name="40% - 强调文字颜色 4 7" xfId="472"/>
    <cellStyle name="40% - 强调文字颜色 4 7 2" xfId="473"/>
    <cellStyle name="40% - 强调文字颜色 4 7 2 2" xfId="474"/>
    <cellStyle name="40% - 强调文字颜色 4 7 3" xfId="475"/>
    <cellStyle name="40% - 强调文字颜色 5 2" xfId="476"/>
    <cellStyle name="40% - 强调文字颜色 5 2 2" xfId="477"/>
    <cellStyle name="40% - 强调文字颜色 5 2 2 2" xfId="478"/>
    <cellStyle name="40% - 强调文字颜色 5 2 2 2 2" xfId="479"/>
    <cellStyle name="40% - 强调文字颜色 5 2 2 3" xfId="480"/>
    <cellStyle name="40% - 强调文字颜色 5 2 3" xfId="481"/>
    <cellStyle name="40% - 强调文字颜色 5 2 3 2" xfId="482"/>
    <cellStyle name="40% - 强调文字颜色 5 2 4" xfId="483"/>
    <cellStyle name="40% - 强调文字颜色 5 3" xfId="484"/>
    <cellStyle name="40% - 强调文字颜色 5 3 2" xfId="485"/>
    <cellStyle name="40% - 强调文字颜色 5 3 2 2" xfId="486"/>
    <cellStyle name="40% - 强调文字颜色 5 3 2 2 2" xfId="487"/>
    <cellStyle name="40% - 强调文字颜色 5 3 2 3" xfId="488"/>
    <cellStyle name="40% - 强调文字颜色 5 3 3" xfId="489"/>
    <cellStyle name="40% - 强调文字颜色 5 3 3 2" xfId="490"/>
    <cellStyle name="40% - 强调文字颜色 5 3 4" xfId="491"/>
    <cellStyle name="40% - 强调文字颜色 5 4" xfId="492"/>
    <cellStyle name="40% - 强调文字颜色 5 4 2" xfId="493"/>
    <cellStyle name="40% - 强调文字颜色 5 4 2 2" xfId="494"/>
    <cellStyle name="40% - 强调文字颜色 5 4 2 2 2" xfId="495"/>
    <cellStyle name="40% - 强调文字颜色 5 4 2 3" xfId="496"/>
    <cellStyle name="40% - 强调文字颜色 5 4 3" xfId="497"/>
    <cellStyle name="40% - 强调文字颜色 5 4 3 2" xfId="498"/>
    <cellStyle name="40% - 强调文字颜色 5 4 4" xfId="499"/>
    <cellStyle name="40% - 强调文字颜色 5 5" xfId="500"/>
    <cellStyle name="40% - 强调文字颜色 5 5 2" xfId="501"/>
    <cellStyle name="40% - 强调文字颜色 5 5 2 2" xfId="502"/>
    <cellStyle name="40% - 强调文字颜色 5 5 3" xfId="503"/>
    <cellStyle name="40% - 强调文字颜色 5 6" xfId="504"/>
    <cellStyle name="40% - 强调文字颜色 5 6 2" xfId="505"/>
    <cellStyle name="40% - 强调文字颜色 5 6 2 2" xfId="506"/>
    <cellStyle name="40% - 强调文字颜色 5 6 3" xfId="507"/>
    <cellStyle name="40% - 强调文字颜色 5 7" xfId="508"/>
    <cellStyle name="40% - 强调文字颜色 5 7 2" xfId="509"/>
    <cellStyle name="40% - 强调文字颜色 5 7 2 2" xfId="510"/>
    <cellStyle name="40% - 强调文字颜色 5 7 3" xfId="511"/>
    <cellStyle name="40% - 强调文字颜色 6 2" xfId="512"/>
    <cellStyle name="40% - 强调文字颜色 6 2 2" xfId="513"/>
    <cellStyle name="40% - 强调文字颜色 6 2 2 2" xfId="514"/>
    <cellStyle name="40% - 强调文字颜色 6 2 2 2 2" xfId="515"/>
    <cellStyle name="40% - 强调文字颜色 6 2 2 3" xfId="516"/>
    <cellStyle name="40% - 强调文字颜色 6 2 3" xfId="517"/>
    <cellStyle name="40% - 强调文字颜色 6 2 3 2" xfId="518"/>
    <cellStyle name="40% - 强调文字颜色 6 2 4" xfId="519"/>
    <cellStyle name="40% - 强调文字颜色 6 3" xfId="520"/>
    <cellStyle name="40% - 强调文字颜色 6 3 2" xfId="521"/>
    <cellStyle name="40% - 强调文字颜色 6 3 2 2" xfId="522"/>
    <cellStyle name="40% - 强调文字颜色 6 3 2 2 2" xfId="523"/>
    <cellStyle name="40% - 强调文字颜色 6 3 2 3" xfId="524"/>
    <cellStyle name="40% - 强调文字颜色 6 3 3" xfId="525"/>
    <cellStyle name="40% - 强调文字颜色 6 3 3 2" xfId="526"/>
    <cellStyle name="40% - 强调文字颜色 6 3 4" xfId="527"/>
    <cellStyle name="40% - 强调文字颜色 6 4" xfId="528"/>
    <cellStyle name="40% - 强调文字颜色 6 4 2" xfId="529"/>
    <cellStyle name="40% - 强调文字颜色 6 4 2 2" xfId="530"/>
    <cellStyle name="40% - 强调文字颜色 6 4 2 2 2" xfId="531"/>
    <cellStyle name="40% - 强调文字颜色 6 4 2 3" xfId="532"/>
    <cellStyle name="40% - 强调文字颜色 6 4 3" xfId="533"/>
    <cellStyle name="40% - 强调文字颜色 6 4 3 2" xfId="534"/>
    <cellStyle name="40% - 强调文字颜色 6 4 4" xfId="535"/>
    <cellStyle name="40% - 强调文字颜色 6 5" xfId="536"/>
    <cellStyle name="40% - 强调文字颜色 6 5 2" xfId="537"/>
    <cellStyle name="40% - 强调文字颜色 6 5 2 2" xfId="538"/>
    <cellStyle name="40% - 强调文字颜色 6 5 3" xfId="539"/>
    <cellStyle name="40% - 强调文字颜色 6 6" xfId="540"/>
    <cellStyle name="40% - 强调文字颜色 6 6 2" xfId="541"/>
    <cellStyle name="40% - 强调文字颜色 6 6 2 2" xfId="542"/>
    <cellStyle name="40% - 强调文字颜色 6 6 3" xfId="543"/>
    <cellStyle name="40% - 强调文字颜色 6 7" xfId="544"/>
    <cellStyle name="40% - 强调文字颜色 6 7 2" xfId="545"/>
    <cellStyle name="40% - 强调文字颜色 6 7 2 2" xfId="546"/>
    <cellStyle name="40% - 强调文字颜色 6 7 3" xfId="547"/>
    <cellStyle name="40% - 着色 1 2" xfId="548"/>
    <cellStyle name="40% - 着色 1 2 2" xfId="549"/>
    <cellStyle name="40% - 着色 1 2 2 2" xfId="550"/>
    <cellStyle name="40% - 着色 1 2 2 2 2" xfId="551"/>
    <cellStyle name="40% - 着色 1 2 2 3" xfId="552"/>
    <cellStyle name="40% - 着色 1 2 3" xfId="553"/>
    <cellStyle name="40% - 着色 1 2 3 2" xfId="554"/>
    <cellStyle name="40% - 着色 1 2 4" xfId="555"/>
    <cellStyle name="40% - 着色 1 3" xfId="556"/>
    <cellStyle name="40% - 着色 1 3 2" xfId="557"/>
    <cellStyle name="40% - 着色 1 3 2 2" xfId="558"/>
    <cellStyle name="40% - 着色 1 3 3" xfId="559"/>
    <cellStyle name="40% - 着色 1 4" xfId="560"/>
    <cellStyle name="40% - 着色 1 4 2" xfId="561"/>
    <cellStyle name="40% - 着色 1 4 2 2" xfId="562"/>
    <cellStyle name="40% - 着色 1 4 3" xfId="563"/>
    <cellStyle name="40% - 着色 1 5" xfId="564"/>
    <cellStyle name="40% - 着色 1 5 2" xfId="565"/>
    <cellStyle name="40% - 着色 1 6" xfId="566"/>
    <cellStyle name="40% - 着色 2 2" xfId="567"/>
    <cellStyle name="40% - 着色 2 2 2" xfId="568"/>
    <cellStyle name="40% - 着色 2 2 2 2" xfId="569"/>
    <cellStyle name="40% - 着色 2 2 2 2 2" xfId="570"/>
    <cellStyle name="40% - 着色 2 2 2 3" xfId="571"/>
    <cellStyle name="40% - 着色 2 2 3" xfId="572"/>
    <cellStyle name="40% - 着色 2 2 3 2" xfId="573"/>
    <cellStyle name="40% - 着色 2 2 4" xfId="574"/>
    <cellStyle name="40% - 着色 2 3" xfId="575"/>
    <cellStyle name="40% - 着色 2 3 2" xfId="576"/>
    <cellStyle name="40% - 着色 2 3 2 2" xfId="577"/>
    <cellStyle name="40% - 着色 2 3 3" xfId="578"/>
    <cellStyle name="40% - 着色 2 4" xfId="579"/>
    <cellStyle name="40% - 着色 2 4 2" xfId="580"/>
    <cellStyle name="40% - 着色 2 4 2 2" xfId="581"/>
    <cellStyle name="40% - 着色 2 4 3" xfId="582"/>
    <cellStyle name="40% - 着色 2 5" xfId="583"/>
    <cellStyle name="40% - 着色 2 5 2" xfId="584"/>
    <cellStyle name="40% - 着色 2 6" xfId="585"/>
    <cellStyle name="40% - 着色 3 2" xfId="586"/>
    <cellStyle name="40% - 着色 3 2 2" xfId="587"/>
    <cellStyle name="40% - 着色 3 2 2 2" xfId="588"/>
    <cellStyle name="40% - 着色 3 2 2 2 2" xfId="589"/>
    <cellStyle name="40% - 着色 3 2 2 3" xfId="590"/>
    <cellStyle name="40% - 着色 3 2 3" xfId="591"/>
    <cellStyle name="40% - 着色 3 2 3 2" xfId="592"/>
    <cellStyle name="40% - 着色 3 2 4" xfId="593"/>
    <cellStyle name="40% - 着色 3 3" xfId="594"/>
    <cellStyle name="40% - 着色 3 3 2" xfId="595"/>
    <cellStyle name="40% - 着色 3 3 2 2" xfId="596"/>
    <cellStyle name="40% - 着色 3 3 3" xfId="597"/>
    <cellStyle name="40% - 着色 3 4" xfId="598"/>
    <cellStyle name="40% - 着色 3 4 2" xfId="599"/>
    <cellStyle name="40% - 着色 3 4 2 2" xfId="600"/>
    <cellStyle name="40% - 着色 3 4 3" xfId="601"/>
    <cellStyle name="40% - 着色 3 5" xfId="602"/>
    <cellStyle name="40% - 着色 3 5 2" xfId="603"/>
    <cellStyle name="40% - 着色 3 6" xfId="604"/>
    <cellStyle name="40% - 着色 4 2" xfId="605"/>
    <cellStyle name="40% - 着色 4 2 2" xfId="606"/>
    <cellStyle name="40% - 着色 4 2 2 2" xfId="607"/>
    <cellStyle name="40% - 着色 4 2 2 2 2" xfId="608"/>
    <cellStyle name="40% - 着色 4 2 2 3" xfId="609"/>
    <cellStyle name="40% - 着色 4 2 3" xfId="610"/>
    <cellStyle name="40% - 着色 4 2 3 2" xfId="611"/>
    <cellStyle name="40% - 着色 4 2 4" xfId="612"/>
    <cellStyle name="40% - 着色 4 3" xfId="613"/>
    <cellStyle name="40% - 着色 4 3 2" xfId="614"/>
    <cellStyle name="40% - 着色 4 3 2 2" xfId="615"/>
    <cellStyle name="40% - 着色 4 3 3" xfId="616"/>
    <cellStyle name="40% - 着色 4 4" xfId="617"/>
    <cellStyle name="40% - 着色 4 4 2" xfId="618"/>
    <cellStyle name="40% - 着色 4 4 2 2" xfId="619"/>
    <cellStyle name="40% - 着色 4 4 3" xfId="620"/>
    <cellStyle name="40% - 着色 4 5" xfId="621"/>
    <cellStyle name="40% - 着色 4 5 2" xfId="622"/>
    <cellStyle name="40% - 着色 4 6" xfId="623"/>
    <cellStyle name="40% - 着色 5 2" xfId="624"/>
    <cellStyle name="40% - 着色 5 2 2" xfId="625"/>
    <cellStyle name="40% - 着色 5 2 2 2" xfId="626"/>
    <cellStyle name="40% - 着色 5 2 2 2 2" xfId="627"/>
    <cellStyle name="40% - 着色 5 2 2 3" xfId="628"/>
    <cellStyle name="40% - 着色 5 2 3" xfId="629"/>
    <cellStyle name="40% - 着色 5 2 3 2" xfId="630"/>
    <cellStyle name="40% - 着色 5 2 4" xfId="631"/>
    <cellStyle name="40% - 着色 5 3" xfId="632"/>
    <cellStyle name="40% - 着色 5 3 2" xfId="633"/>
    <cellStyle name="40% - 着色 5 3 2 2" xfId="634"/>
    <cellStyle name="40% - 着色 5 3 3" xfId="635"/>
    <cellStyle name="40% - 着色 5 4" xfId="636"/>
    <cellStyle name="40% - 着色 5 4 2" xfId="637"/>
    <cellStyle name="40% - 着色 5 4 2 2" xfId="638"/>
    <cellStyle name="40% - 着色 5 4 3" xfId="639"/>
    <cellStyle name="40% - 着色 5 5" xfId="640"/>
    <cellStyle name="40% - 着色 5 5 2" xfId="641"/>
    <cellStyle name="40% - 着色 5 6" xfId="642"/>
    <cellStyle name="40% - 着色 6 2" xfId="643"/>
    <cellStyle name="40% - 着色 6 2 2" xfId="644"/>
    <cellStyle name="40% - 着色 6 2 2 2" xfId="645"/>
    <cellStyle name="40% - 着色 6 2 2 2 2" xfId="646"/>
    <cellStyle name="40% - 着色 6 2 2 3" xfId="647"/>
    <cellStyle name="40% - 着色 6 2 3" xfId="648"/>
    <cellStyle name="40% - 着色 6 2 3 2" xfId="649"/>
    <cellStyle name="40% - 着色 6 2 4" xfId="650"/>
    <cellStyle name="40% - 着色 6 3" xfId="651"/>
    <cellStyle name="40% - 着色 6 3 2" xfId="652"/>
    <cellStyle name="40% - 着色 6 3 2 2" xfId="653"/>
    <cellStyle name="40% - 着色 6 3 3" xfId="654"/>
    <cellStyle name="40% - 着色 6 4" xfId="655"/>
    <cellStyle name="40% - 着色 6 4 2" xfId="656"/>
    <cellStyle name="40% - 着色 6 4 2 2" xfId="657"/>
    <cellStyle name="40% - 着色 6 4 3" xfId="658"/>
    <cellStyle name="40% - 着色 6 5" xfId="659"/>
    <cellStyle name="40% - 着色 6 5 2" xfId="660"/>
    <cellStyle name="40% - 着色 6 6" xfId="661"/>
    <cellStyle name="60% - 强调文字颜色 1 2" xfId="662"/>
    <cellStyle name="60% - 强调文字颜色 1 2 2" xfId="663"/>
    <cellStyle name="60% - 强调文字颜色 1 2 2 2" xfId="664"/>
    <cellStyle name="60% - 强调文字颜色 1 2 3" xfId="665"/>
    <cellStyle name="60% - 强调文字颜色 1 3" xfId="666"/>
    <cellStyle name="60% - 强调文字颜色 1 3 2" xfId="667"/>
    <cellStyle name="60% - 强调文字颜色 1 3 2 2" xfId="668"/>
    <cellStyle name="60% - 强调文字颜色 1 3 3" xfId="669"/>
    <cellStyle name="60% - 强调文字颜色 1 4" xfId="670"/>
    <cellStyle name="60% - 强调文字颜色 1 4 2" xfId="671"/>
    <cellStyle name="60% - 强调文字颜色 1 4 2 2" xfId="672"/>
    <cellStyle name="60% - 强调文字颜色 1 4 3" xfId="673"/>
    <cellStyle name="60% - 强调文字颜色 1 5" xfId="674"/>
    <cellStyle name="60% - 强调文字颜色 1 5 2" xfId="675"/>
    <cellStyle name="60% - 强调文字颜色 1 6" xfId="676"/>
    <cellStyle name="60% - 强调文字颜色 1 6 2" xfId="677"/>
    <cellStyle name="60% - 强调文字颜色 1 7" xfId="678"/>
    <cellStyle name="60% - 强调文字颜色 1 7 2" xfId="679"/>
    <cellStyle name="60% - 强调文字颜色 2 2" xfId="680"/>
    <cellStyle name="60% - 强调文字颜色 2 2 2" xfId="681"/>
    <cellStyle name="60% - 强调文字颜色 2 2 2 2" xfId="682"/>
    <cellStyle name="60% - 强调文字颜色 2 2 3" xfId="683"/>
    <cellStyle name="60% - 强调文字颜色 2 3" xfId="684"/>
    <cellStyle name="60% - 强调文字颜色 2 3 2" xfId="685"/>
    <cellStyle name="60% - 强调文字颜色 2 3 2 2" xfId="686"/>
    <cellStyle name="60% - 强调文字颜色 2 3 3" xfId="687"/>
    <cellStyle name="60% - 强调文字颜色 2 4" xfId="688"/>
    <cellStyle name="60% - 强调文字颜色 2 4 2" xfId="689"/>
    <cellStyle name="60% - 强调文字颜色 2 4 2 2" xfId="690"/>
    <cellStyle name="60% - 强调文字颜色 2 4 3" xfId="691"/>
    <cellStyle name="60% - 强调文字颜色 2 5" xfId="692"/>
    <cellStyle name="60% - 强调文字颜色 2 5 2" xfId="693"/>
    <cellStyle name="60% - 强调文字颜色 2 6" xfId="694"/>
    <cellStyle name="60% - 强调文字颜色 2 6 2" xfId="695"/>
    <cellStyle name="60% - 强调文字颜色 2 7" xfId="696"/>
    <cellStyle name="60% - 强调文字颜色 2 7 2" xfId="697"/>
    <cellStyle name="60% - 强调文字颜色 3 2" xfId="698"/>
    <cellStyle name="60% - 强调文字颜色 3 2 2" xfId="699"/>
    <cellStyle name="60% - 强调文字颜色 3 2 2 2" xfId="700"/>
    <cellStyle name="60% - 强调文字颜色 3 2 3" xfId="701"/>
    <cellStyle name="60% - 强调文字颜色 3 3" xfId="702"/>
    <cellStyle name="60% - 强调文字颜色 3 3 2" xfId="703"/>
    <cellStyle name="60% - 强调文字颜色 3 3 2 2" xfId="704"/>
    <cellStyle name="60% - 强调文字颜色 3 3 3" xfId="705"/>
    <cellStyle name="60% - 强调文字颜色 3 4" xfId="706"/>
    <cellStyle name="60% - 强调文字颜色 3 4 2" xfId="707"/>
    <cellStyle name="60% - 强调文字颜色 3 4 2 2" xfId="708"/>
    <cellStyle name="60% - 强调文字颜色 3 4 3" xfId="709"/>
    <cellStyle name="60% - 强调文字颜色 3 5" xfId="710"/>
    <cellStyle name="60% - 强调文字颜色 3 5 2" xfId="711"/>
    <cellStyle name="60% - 强调文字颜色 3 6" xfId="712"/>
    <cellStyle name="60% - 强调文字颜色 3 6 2" xfId="713"/>
    <cellStyle name="60% - 强调文字颜色 3 7" xfId="714"/>
    <cellStyle name="60% - 强调文字颜色 3 7 2" xfId="715"/>
    <cellStyle name="60% - 强调文字颜色 4 2" xfId="716"/>
    <cellStyle name="60% - 强调文字颜色 4 2 2" xfId="717"/>
    <cellStyle name="60% - 强调文字颜色 4 2 2 2" xfId="718"/>
    <cellStyle name="60% - 强调文字颜色 4 2 3" xfId="719"/>
    <cellStyle name="60% - 强调文字颜色 4 3" xfId="720"/>
    <cellStyle name="60% - 强调文字颜色 4 3 2" xfId="721"/>
    <cellStyle name="60% - 强调文字颜色 4 3 2 2" xfId="722"/>
    <cellStyle name="60% - 强调文字颜色 4 3 3" xfId="723"/>
    <cellStyle name="60% - 强调文字颜色 4 4" xfId="724"/>
    <cellStyle name="60% - 强调文字颜色 4 4 2" xfId="725"/>
    <cellStyle name="60% - 强调文字颜色 4 4 2 2" xfId="726"/>
    <cellStyle name="60% - 强调文字颜色 4 4 3" xfId="727"/>
    <cellStyle name="60% - 强调文字颜色 4 5" xfId="728"/>
    <cellStyle name="60% - 强调文字颜色 4 5 2" xfId="729"/>
    <cellStyle name="60% - 强调文字颜色 4 6" xfId="730"/>
    <cellStyle name="60% - 强调文字颜色 4 6 2" xfId="731"/>
    <cellStyle name="60% - 强调文字颜色 4 7" xfId="732"/>
    <cellStyle name="60% - 强调文字颜色 4 7 2" xfId="733"/>
    <cellStyle name="60% - 强调文字颜色 5 2" xfId="734"/>
    <cellStyle name="60% - 强调文字颜色 5 2 2" xfId="735"/>
    <cellStyle name="60% - 强调文字颜色 5 2 2 2" xfId="736"/>
    <cellStyle name="60% - 强调文字颜色 5 2 3" xfId="737"/>
    <cellStyle name="60% - 强调文字颜色 5 3" xfId="738"/>
    <cellStyle name="60% - 强调文字颜色 5 3 2" xfId="739"/>
    <cellStyle name="60% - 强调文字颜色 5 3 2 2" xfId="740"/>
    <cellStyle name="60% - 强调文字颜色 5 3 3" xfId="741"/>
    <cellStyle name="60% - 强调文字颜色 5 4" xfId="742"/>
    <cellStyle name="60% - 强调文字颜色 5 4 2" xfId="743"/>
    <cellStyle name="60% - 强调文字颜色 5 4 2 2" xfId="744"/>
    <cellStyle name="60% - 强调文字颜色 5 4 3" xfId="745"/>
    <cellStyle name="60% - 强调文字颜色 5 5" xfId="746"/>
    <cellStyle name="60% - 强调文字颜色 5 5 2" xfId="747"/>
    <cellStyle name="60% - 强调文字颜色 5 6" xfId="748"/>
    <cellStyle name="60% - 强调文字颜色 5 6 2" xfId="749"/>
    <cellStyle name="60% - 强调文字颜色 5 7" xfId="750"/>
    <cellStyle name="60% - 强调文字颜色 5 7 2" xfId="751"/>
    <cellStyle name="60% - 强调文字颜色 6 2" xfId="752"/>
    <cellStyle name="60% - 强调文字颜色 6 2 2" xfId="753"/>
    <cellStyle name="60% - 强调文字颜色 6 2 2 2" xfId="754"/>
    <cellStyle name="60% - 强调文字颜色 6 2 3" xfId="755"/>
    <cellStyle name="60% - 强调文字颜色 6 3" xfId="756"/>
    <cellStyle name="60% - 强调文字颜色 6 3 2" xfId="757"/>
    <cellStyle name="60% - 强调文字颜色 6 3 2 2" xfId="758"/>
    <cellStyle name="60% - 强调文字颜色 6 3 3" xfId="759"/>
    <cellStyle name="60% - 强调文字颜色 6 4" xfId="760"/>
    <cellStyle name="60% - 强调文字颜色 6 4 2" xfId="761"/>
    <cellStyle name="60% - 强调文字颜色 6 4 2 2" xfId="762"/>
    <cellStyle name="60% - 强调文字颜色 6 4 3" xfId="763"/>
    <cellStyle name="60% - 强调文字颜色 6 5" xfId="764"/>
    <cellStyle name="60% - 强调文字颜色 6 5 2" xfId="765"/>
    <cellStyle name="60% - 强调文字颜色 6 6" xfId="766"/>
    <cellStyle name="60% - 强调文字颜色 6 6 2" xfId="767"/>
    <cellStyle name="60% - 强调文字颜色 6 7" xfId="768"/>
    <cellStyle name="60% - 强调文字颜色 6 7 2" xfId="769"/>
    <cellStyle name="60% - 着色 1 2" xfId="770"/>
    <cellStyle name="60% - 着色 1 2 2" xfId="771"/>
    <cellStyle name="60% - 着色 1 2 2 2" xfId="772"/>
    <cellStyle name="60% - 着色 1 2 3" xfId="773"/>
    <cellStyle name="60% - 着色 1 3" xfId="774"/>
    <cellStyle name="60% - 着色 1 3 2" xfId="775"/>
    <cellStyle name="60% - 着色 1 4" xfId="776"/>
    <cellStyle name="60% - 着色 1 4 2" xfId="777"/>
    <cellStyle name="60% - 着色 1 5" xfId="778"/>
    <cellStyle name="60% - 着色 2 2" xfId="779"/>
    <cellStyle name="60% - 着色 2 2 2" xfId="780"/>
    <cellStyle name="60% - 着色 2 2 2 2" xfId="781"/>
    <cellStyle name="60% - 着色 2 2 3" xfId="782"/>
    <cellStyle name="60% - 着色 2 3" xfId="783"/>
    <cellStyle name="60% - 着色 2 3 2" xfId="784"/>
    <cellStyle name="60% - 着色 2 4" xfId="785"/>
    <cellStyle name="60% - 着色 2 4 2" xfId="786"/>
    <cellStyle name="60% - 着色 2 5" xfId="787"/>
    <cellStyle name="60% - 着色 3 2" xfId="788"/>
    <cellStyle name="60% - 着色 3 2 2" xfId="789"/>
    <cellStyle name="60% - 着色 3 2 2 2" xfId="790"/>
    <cellStyle name="60% - 着色 3 2 3" xfId="791"/>
    <cellStyle name="60% - 着色 3 3" xfId="792"/>
    <cellStyle name="60% - 着色 3 3 2" xfId="793"/>
    <cellStyle name="60% - 着色 3 4" xfId="794"/>
    <cellStyle name="60% - 着色 3 4 2" xfId="795"/>
    <cellStyle name="60% - 着色 3 5" xfId="796"/>
    <cellStyle name="60% - 着色 4 2" xfId="797"/>
    <cellStyle name="60% - 着色 4 2 2" xfId="798"/>
    <cellStyle name="60% - 着色 4 2 2 2" xfId="799"/>
    <cellStyle name="60% - 着色 4 2 3" xfId="800"/>
    <cellStyle name="60% - 着色 4 3" xfId="801"/>
    <cellStyle name="60% - 着色 4 3 2" xfId="802"/>
    <cellStyle name="60% - 着色 4 4" xfId="803"/>
    <cellStyle name="60% - 着色 4 4 2" xfId="804"/>
    <cellStyle name="60% - 着色 4 5" xfId="805"/>
    <cellStyle name="60% - 着色 5 2" xfId="806"/>
    <cellStyle name="60% - 着色 5 2 2" xfId="807"/>
    <cellStyle name="60% - 着色 5 2 2 2" xfId="808"/>
    <cellStyle name="60% - 着色 5 2 3" xfId="809"/>
    <cellStyle name="60% - 着色 5 3" xfId="810"/>
    <cellStyle name="60% - 着色 5 3 2" xfId="811"/>
    <cellStyle name="60% - 着色 5 4" xfId="812"/>
    <cellStyle name="60% - 着色 5 4 2" xfId="813"/>
    <cellStyle name="60% - 着色 5 5" xfId="814"/>
    <cellStyle name="60% - 着色 6 2" xfId="815"/>
    <cellStyle name="60% - 着色 6 2 2" xfId="816"/>
    <cellStyle name="60% - 着色 6 2 2 2" xfId="817"/>
    <cellStyle name="60% - 着色 6 2 3" xfId="818"/>
    <cellStyle name="60% - 着色 6 3" xfId="819"/>
    <cellStyle name="60% - 着色 6 3 2" xfId="820"/>
    <cellStyle name="60% - 着色 6 4" xfId="821"/>
    <cellStyle name="60% - 着色 6 4 2" xfId="822"/>
    <cellStyle name="60% - 着色 6 5" xfId="823"/>
    <cellStyle name="RowLevel_1" xfId="824"/>
    <cellStyle name="百分比 2" xfId="825"/>
    <cellStyle name="百分比 2 2" xfId="826"/>
    <cellStyle name="百分比 2 2 2" xfId="827"/>
    <cellStyle name="百分比 2 2 2 2" xfId="828"/>
    <cellStyle name="百分比 2 2 3" xfId="829"/>
    <cellStyle name="百分比 2 3" xfId="830"/>
    <cellStyle name="百分比 2 3 2" xfId="831"/>
    <cellStyle name="百分比 2 4" xfId="832"/>
    <cellStyle name="百分比 2 4 2" xfId="833"/>
    <cellStyle name="百分比 2 5" xfId="834"/>
    <cellStyle name="百分比 2 5 2" xfId="835"/>
    <cellStyle name="百分比 2 5 2 2" xfId="836"/>
    <cellStyle name="百分比 2 5 3" xfId="837"/>
    <cellStyle name="百分比 2 6" xfId="838"/>
    <cellStyle name="百分比 2 6 2" xfId="839"/>
    <cellStyle name="百分比 2 7" xfId="840"/>
    <cellStyle name="百分比 3" xfId="841"/>
    <cellStyle name="百分比 3 2" xfId="842"/>
    <cellStyle name="百分比 3 2 2" xfId="843"/>
    <cellStyle name="百分比 3 2 2 2" xfId="844"/>
    <cellStyle name="百分比 3 2 3" xfId="845"/>
    <cellStyle name="百分比 3 3" xfId="846"/>
    <cellStyle name="百分比 3 3 2" xfId="847"/>
    <cellStyle name="百分比 3 4" xfId="848"/>
    <cellStyle name="百分比 3 4 2" xfId="849"/>
    <cellStyle name="百分比 3 5" xfId="850"/>
    <cellStyle name="百分比 3 5 2" xfId="851"/>
    <cellStyle name="百分比 3 6" xfId="852"/>
    <cellStyle name="百分比 4" xfId="853"/>
    <cellStyle name="百分比 4 2" xfId="854"/>
    <cellStyle name="百分比 4 2 2" xfId="855"/>
    <cellStyle name="百分比 4 3" xfId="856"/>
    <cellStyle name="百分比 5" xfId="857"/>
    <cellStyle name="百分比 5 2" xfId="858"/>
    <cellStyle name="百分比 5 2 2" xfId="859"/>
    <cellStyle name="百分比 5 3" xfId="860"/>
    <cellStyle name="百分比 6" xfId="861"/>
    <cellStyle name="百分比 6 2" xfId="862"/>
    <cellStyle name="百分比 6 2 2" xfId="863"/>
    <cellStyle name="百分比 6 3" xfId="864"/>
    <cellStyle name="百分比 7" xfId="865"/>
    <cellStyle name="百分比 7 2" xfId="866"/>
    <cellStyle name="百分比 8" xfId="867"/>
    <cellStyle name="标题 1 2" xfId="868"/>
    <cellStyle name="标题 1 2 2" xfId="869"/>
    <cellStyle name="标题 1 2 2 2" xfId="870"/>
    <cellStyle name="标题 1 2 3" xfId="871"/>
    <cellStyle name="标题 1 3" xfId="872"/>
    <cellStyle name="标题 1 3 2" xfId="873"/>
    <cellStyle name="标题 1 3 2 2" xfId="874"/>
    <cellStyle name="标题 1 3 3" xfId="875"/>
    <cellStyle name="标题 1 4" xfId="876"/>
    <cellStyle name="标题 1 4 2" xfId="877"/>
    <cellStyle name="标题 1 4 2 2" xfId="878"/>
    <cellStyle name="标题 1 4 3" xfId="879"/>
    <cellStyle name="标题 1 5" xfId="880"/>
    <cellStyle name="标题 1 5 2" xfId="881"/>
    <cellStyle name="标题 1 6" xfId="882"/>
    <cellStyle name="标题 1 6 2" xfId="883"/>
    <cellStyle name="标题 2 2" xfId="884"/>
    <cellStyle name="标题 2 2 2" xfId="885"/>
    <cellStyle name="标题 2 2 2 2" xfId="886"/>
    <cellStyle name="标题 2 2 3" xfId="887"/>
    <cellStyle name="标题 2 3" xfId="888"/>
    <cellStyle name="标题 2 3 2" xfId="889"/>
    <cellStyle name="标题 2 3 2 2" xfId="890"/>
    <cellStyle name="标题 2 3 3" xfId="891"/>
    <cellStyle name="标题 2 4" xfId="892"/>
    <cellStyle name="标题 2 4 2" xfId="893"/>
    <cellStyle name="标题 2 4 2 2" xfId="894"/>
    <cellStyle name="标题 2 4 3" xfId="895"/>
    <cellStyle name="标题 2 5" xfId="896"/>
    <cellStyle name="标题 2 5 2" xfId="897"/>
    <cellStyle name="标题 2 6" xfId="898"/>
    <cellStyle name="标题 2 6 2" xfId="899"/>
    <cellStyle name="标题 3 2" xfId="900"/>
    <cellStyle name="标题 3 2 2" xfId="901"/>
    <cellStyle name="标题 3 2 2 2" xfId="902"/>
    <cellStyle name="标题 3 2 3" xfId="903"/>
    <cellStyle name="标题 3 3" xfId="904"/>
    <cellStyle name="标题 3 3 2" xfId="905"/>
    <cellStyle name="标题 3 3 2 2" xfId="906"/>
    <cellStyle name="标题 3 3 3" xfId="907"/>
    <cellStyle name="标题 3 4" xfId="908"/>
    <cellStyle name="标题 3 4 2" xfId="909"/>
    <cellStyle name="标题 3 4 2 2" xfId="910"/>
    <cellStyle name="标题 3 4 3" xfId="911"/>
    <cellStyle name="标题 3 5" xfId="912"/>
    <cellStyle name="标题 3 5 2" xfId="913"/>
    <cellStyle name="标题 3 6" xfId="914"/>
    <cellStyle name="标题 3 6 2" xfId="915"/>
    <cellStyle name="标题 4 2" xfId="916"/>
    <cellStyle name="标题 4 2 2" xfId="917"/>
    <cellStyle name="标题 4 2 2 2" xfId="918"/>
    <cellStyle name="标题 4 2 3" xfId="919"/>
    <cellStyle name="标题 4 3" xfId="920"/>
    <cellStyle name="标题 4 3 2" xfId="921"/>
    <cellStyle name="标题 4 3 2 2" xfId="922"/>
    <cellStyle name="标题 4 3 3" xfId="923"/>
    <cellStyle name="标题 4 4" xfId="924"/>
    <cellStyle name="标题 4 4 2" xfId="925"/>
    <cellStyle name="标题 4 4 2 2" xfId="926"/>
    <cellStyle name="标题 4 4 3" xfId="927"/>
    <cellStyle name="标题 4 5" xfId="928"/>
    <cellStyle name="标题 4 5 2" xfId="929"/>
    <cellStyle name="标题 4 6" xfId="930"/>
    <cellStyle name="标题 4 6 2" xfId="931"/>
    <cellStyle name="标题 5" xfId="932"/>
    <cellStyle name="标题 5 2" xfId="933"/>
    <cellStyle name="标题 5 2 2" xfId="934"/>
    <cellStyle name="标题 5 3" xfId="935"/>
    <cellStyle name="标题 6" xfId="936"/>
    <cellStyle name="标题 6 2" xfId="937"/>
    <cellStyle name="标题 6 2 2" xfId="938"/>
    <cellStyle name="标题 6 3" xfId="939"/>
    <cellStyle name="标题 7" xfId="940"/>
    <cellStyle name="标题 7 2" xfId="941"/>
    <cellStyle name="标题 7 2 2" xfId="942"/>
    <cellStyle name="标题 7 3" xfId="943"/>
    <cellStyle name="标题 8" xfId="944"/>
    <cellStyle name="标题 8 2" xfId="945"/>
    <cellStyle name="标题 9" xfId="946"/>
    <cellStyle name="标题 9 2" xfId="947"/>
    <cellStyle name="差 2" xfId="948"/>
    <cellStyle name="差 2 2" xfId="949"/>
    <cellStyle name="差 2 2 2" xfId="950"/>
    <cellStyle name="差 2 3" xfId="951"/>
    <cellStyle name="差 3" xfId="952"/>
    <cellStyle name="差 3 2" xfId="953"/>
    <cellStyle name="差 3 2 2" xfId="954"/>
    <cellStyle name="差 3 3" xfId="955"/>
    <cellStyle name="差 4" xfId="956"/>
    <cellStyle name="差 4 2" xfId="957"/>
    <cellStyle name="差 4 2 2" xfId="958"/>
    <cellStyle name="差 4 3" xfId="959"/>
    <cellStyle name="差 5" xfId="960"/>
    <cellStyle name="差 5 2" xfId="961"/>
    <cellStyle name="差 6" xfId="962"/>
    <cellStyle name="差 6 2" xfId="963"/>
    <cellStyle name="差 7" xfId="964"/>
    <cellStyle name="差 7 2" xfId="965"/>
    <cellStyle name="差_2013见习培训经费表下半年(chen)2014年9月" xfId="966"/>
    <cellStyle name="差_2013见习培训经费表下半年(chen)2014年9月 2" xfId="967"/>
    <cellStyle name="差_2013见习培训经费表下半年(chen)2014年9月 2 2" xfId="968"/>
    <cellStyle name="差_2013见习培训经费表下半年(chen)2014年9月 2 2 2" xfId="969"/>
    <cellStyle name="差_2013见习培训经费表下半年(chen)2014年9月 2 3" xfId="970"/>
    <cellStyle name="差_2013见习培训经费表下半年(chen)2014年9月 3" xfId="971"/>
    <cellStyle name="差_2013见习培训经费表下半年(chen)2014年9月 3 2" xfId="972"/>
    <cellStyle name="差_2013见习培训经费表下半年(chen)2014年9月 4" xfId="973"/>
    <cellStyle name="差_2013见习培训经费表下半年(chen)2014年9月 4 2" xfId="974"/>
    <cellStyle name="差_2013见习培训经费表下半年(chen)2014年9月 5" xfId="975"/>
    <cellStyle name="差_2014年聘用学校导师带教经费表" xfId="976"/>
    <cellStyle name="差_2014年聘用学校导师带教经费表 2" xfId="977"/>
    <cellStyle name="差_2014年聘用学校导师带教经费表 2 2" xfId="978"/>
    <cellStyle name="差_2014年聘用学校导师带教经费表 2 2 2" xfId="979"/>
    <cellStyle name="差_2014年聘用学校导师带教经费表 2 3" xfId="980"/>
    <cellStyle name="差_2014年聘用学校导师带教经费表 3" xfId="981"/>
    <cellStyle name="差_2014年聘用学校导师带教经费表 3 2" xfId="982"/>
    <cellStyle name="差_2014年聘用学校导师带教经费表 3 2 2" xfId="983"/>
    <cellStyle name="差_2014年聘用学校导师带教经费表 3 3" xfId="984"/>
    <cellStyle name="差_2014年聘用学校导师带教经费表 4" xfId="985"/>
    <cellStyle name="差_2014年聘用学校导师带教经费表 4 2" xfId="986"/>
    <cellStyle name="差_2014年聘用学校导师带教经费表 4 2 2" xfId="987"/>
    <cellStyle name="差_2014年聘用学校导师带教经费表 4 3" xfId="988"/>
    <cellStyle name="差_2014年聘用学校导师带教经费表 5" xfId="989"/>
    <cellStyle name="差_2014年聘用学校导师带教经费表 5 2" xfId="990"/>
    <cellStyle name="差_2014年聘用学校导师带教经费表 6" xfId="991"/>
    <cellStyle name="差_2014年聘用学校导师带教经费表 6 2" xfId="992"/>
    <cellStyle name="差_2014年聘用学校导师带教经费表 7" xfId="993"/>
    <cellStyle name="差_2014年终考核奖完整版-给核算中心" xfId="994"/>
    <cellStyle name="差_2014年终考核奖完整版-给核算中心 2" xfId="995"/>
    <cellStyle name="差_2014年终考核奖完整版-给核算中心 2 2" xfId="996"/>
    <cellStyle name="差_2014年终考核奖完整版-给核算中心 2 2 2" xfId="997"/>
    <cellStyle name="差_2014年终考核奖完整版-给核算中心 2 3" xfId="998"/>
    <cellStyle name="差_2014年终考核奖完整版-给核算中心 3" xfId="999"/>
    <cellStyle name="差_2014年终考核奖完整版-给核算中心 3 2" xfId="1000"/>
    <cellStyle name="差_2014年终考核奖完整版-给核算中心 4" xfId="1001"/>
    <cellStyle name="差_2014年终考核奖完整版-给核算中心 4 2" xfId="1002"/>
    <cellStyle name="差_2014年终考核奖完整版-给核算中心 5" xfId="1003"/>
    <cellStyle name="差_2014优秀学校奖励测算表" xfId="1004"/>
    <cellStyle name="差_2014优秀学校奖励测算表 2" xfId="1005"/>
    <cellStyle name="差_2014优秀学校奖励测算表 2 2" xfId="1006"/>
    <cellStyle name="差_2014优秀学校奖励测算表 2 2 2" xfId="1007"/>
    <cellStyle name="差_2014优秀学校奖励测算表 2 3" xfId="1008"/>
    <cellStyle name="差_2014优秀学校奖励测算表 3" xfId="1009"/>
    <cellStyle name="差_2014优秀学校奖励测算表 3 2" xfId="1010"/>
    <cellStyle name="差_2014优秀学校奖励测算表 4" xfId="1011"/>
    <cellStyle name="差_2014优秀学校奖励测算表 4 2" xfId="1012"/>
    <cellStyle name="差_2014优秀学校奖励测算表 5" xfId="1013"/>
    <cellStyle name="差_2015年年终奖预发表-给核算中心" xfId="1014"/>
    <cellStyle name="差_2015年年终奖预发表-给核算中心 2" xfId="1015"/>
    <cellStyle name="差_2015年年终奖预发表-给核算中心 2 2" xfId="1016"/>
    <cellStyle name="差_2015年年终奖预发表-给核算中心 2 2 2" xfId="1017"/>
    <cellStyle name="差_2015年年终奖预发表-给核算中心 2 3" xfId="1018"/>
    <cellStyle name="差_2015年年终奖预发表-给核算中心 3" xfId="1019"/>
    <cellStyle name="差_2015年年终奖预发表-给核算中心 3 2" xfId="1020"/>
    <cellStyle name="差_2015年年终奖预发表-给核算中心 4" xfId="1021"/>
    <cellStyle name="差_2015年年终奖预发表-给核算中心 4 2" xfId="1022"/>
    <cellStyle name="差_2015年年终奖预发表-给核算中心 5" xfId="1023"/>
    <cellStyle name="差_2016年3月校长职级工资（核算中心）" xfId="1024"/>
    <cellStyle name="差_2016年3月校长职级工资（核算中心） 2" xfId="1025"/>
    <cellStyle name="差_2016年3月校长职级工资（核算中心） 2 2" xfId="1026"/>
    <cellStyle name="差_2016年3月校长职级工资（核算中心） 2 2 2" xfId="1027"/>
    <cellStyle name="差_2016年3月校长职级工资（核算中心） 2 3" xfId="1028"/>
    <cellStyle name="差_2016年3月校长职级工资（核算中心） 3" xfId="1029"/>
    <cellStyle name="差_2016年3月校长职级工资（核算中心） 3 2" xfId="1030"/>
    <cellStyle name="差_2016年3月校长职级工资（核算中心） 4" xfId="1031"/>
    <cellStyle name="差_2016年3月校长职级工资（核算中心） 4 2" xfId="1032"/>
    <cellStyle name="差_2016年3月校长职级工资（核算中心） 5" xfId="1033"/>
    <cellStyle name="差_2016统计人数汇总表（完稿版）9.12" xfId="1034"/>
    <cellStyle name="差_2016统计人数汇总表（完稿版）9.12 2" xfId="1035"/>
    <cellStyle name="差_2016统计人数汇总表（完稿版）9.12 2 2" xfId="1036"/>
    <cellStyle name="差_2016统计人数汇总表（完稿版）9.12 2 2 2" xfId="1037"/>
    <cellStyle name="差_2016统计人数汇总表（完稿版）9.12 2 3" xfId="1038"/>
    <cellStyle name="差_2016统计人数汇总表（完稿版）9.12 3" xfId="1039"/>
    <cellStyle name="差_2016统计人数汇总表（完稿版）9.12 3 2" xfId="1040"/>
    <cellStyle name="差_2016统计人数汇总表（完稿版）9.12 4" xfId="1041"/>
    <cellStyle name="差_2016统计人数汇总表（完稿版）9.12 4 2" xfId="1042"/>
    <cellStyle name="差_2016统计人数汇总表（完稿版）9.12 5" xfId="1043"/>
    <cellStyle name="差_A0汇总表（报计财科：项目津贴发放）" xfId="1044"/>
    <cellStyle name="差_A0汇总表（报计财科：项目津贴发放） 2" xfId="1045"/>
    <cellStyle name="差_A0汇总表（报计财科：项目津贴发放） 2 2" xfId="1046"/>
    <cellStyle name="差_A0汇总表（报计财科：项目津贴发放） 2 2 2" xfId="1047"/>
    <cellStyle name="差_A0汇总表（报计财科：项目津贴发放） 2 3" xfId="1048"/>
    <cellStyle name="差_A0汇总表（报计财科：项目津贴发放） 3" xfId="1049"/>
    <cellStyle name="差_A0汇总表（报计财科：项目津贴发放） 3 2" xfId="1050"/>
    <cellStyle name="差_A0汇总表（报计财科：项目津贴发放） 4" xfId="1051"/>
    <cellStyle name="差_A0汇总表（报计财科：项目津贴发放） 4 2" xfId="1052"/>
    <cellStyle name="差_A0汇总表（报计财科：项目津贴发放） 5" xfId="1053"/>
    <cellStyle name="差_统筹-校长（暂估）" xfId="1054"/>
    <cellStyle name="差_统筹-校长（暂估） 2" xfId="1055"/>
    <cellStyle name="差_统筹-校长（暂估） 2 2" xfId="1056"/>
    <cellStyle name="差_统筹-校长（暂估） 2 2 2" xfId="1057"/>
    <cellStyle name="差_统筹-校长（暂估） 2 3" xfId="1058"/>
    <cellStyle name="差_统筹-校长（暂估） 3" xfId="1059"/>
    <cellStyle name="差_统筹-校长（暂估） 3 2" xfId="1060"/>
    <cellStyle name="差_统筹-校长（暂估） 4" xfId="1061"/>
    <cellStyle name="差_统筹-校长（暂估） 4 2" xfId="1062"/>
    <cellStyle name="差_统筹-校长（暂估） 5" xfId="1063"/>
    <cellStyle name="差_校长、书记2015年增量部分发放清单" xfId="1064"/>
    <cellStyle name="差_校长、书记2015年增量部分发放清单 2" xfId="1065"/>
    <cellStyle name="差_校长、书记2015年增量部分发放清单 2 2" xfId="1066"/>
    <cellStyle name="差_校长、书记2015年增量部分发放清单 2 2 2" xfId="1067"/>
    <cellStyle name="差_校长、书记2015年增量部分发放清单 2 3" xfId="1068"/>
    <cellStyle name="差_校长、书记2015年增量部分发放清单 3" xfId="1069"/>
    <cellStyle name="差_校长、书记2015年增量部分发放清单 3 2" xfId="1070"/>
    <cellStyle name="差_校长、书记2015年增量部分发放清单 4" xfId="1071"/>
    <cellStyle name="差_校长、书记2015年增量部分发放清单 4 2" xfId="1072"/>
    <cellStyle name="差_校长、书记2015年增量部分发放清单 5" xfId="1073"/>
    <cellStyle name="差_校长职级、亚信会奖励、教师节奖励镇管" xfId="1074"/>
    <cellStyle name="差_校长职级、亚信会奖励、教师节奖励镇管 2" xfId="1075"/>
    <cellStyle name="差_校长职级、亚信会奖励、教师节奖励镇管 2 2" xfId="1076"/>
    <cellStyle name="差_校长职级、亚信会奖励、教师节奖励镇管 2 2 2" xfId="1077"/>
    <cellStyle name="差_校长职级、亚信会奖励、教师节奖励镇管 2 3" xfId="1078"/>
    <cellStyle name="差_校长职级、亚信会奖励、教师节奖励镇管 3" xfId="1079"/>
    <cellStyle name="差_校长职级、亚信会奖励、教师节奖励镇管 3 2" xfId="1080"/>
    <cellStyle name="差_校长职级、亚信会奖励、教师节奖励镇管 4" xfId="1081"/>
    <cellStyle name="差_校长职级、亚信会奖励、教师节奖励镇管 4 2" xfId="1082"/>
    <cellStyle name="差_校长职级、亚信会奖励、教师节奖励镇管 5" xfId="1083"/>
    <cellStyle name="差_镇管汇总" xfId="1084"/>
    <cellStyle name="差_镇管汇总 2" xfId="1085"/>
    <cellStyle name="差_镇管汇总 2 2" xfId="1086"/>
    <cellStyle name="差_镇管汇总 2 2 2" xfId="1087"/>
    <cellStyle name="差_镇管汇总 2 3" xfId="1088"/>
    <cellStyle name="差_镇管汇总 3" xfId="1089"/>
    <cellStyle name="差_镇管汇总 3 2" xfId="1090"/>
    <cellStyle name="差_镇管汇总 4" xfId="1091"/>
    <cellStyle name="差_镇管汇总 4 2" xfId="1092"/>
    <cellStyle name="差_镇管汇总 5" xfId="1093"/>
    <cellStyle name="常规" xfId="0" builtinId="0"/>
    <cellStyle name="常规 10" xfId="1094"/>
    <cellStyle name="常规 10 2" xfId="1095"/>
    <cellStyle name="常规 10 2 2" xfId="1096"/>
    <cellStyle name="常规 10 3" xfId="1097"/>
    <cellStyle name="常规 10 4" xfId="1098"/>
    <cellStyle name="常规 100" xfId="1"/>
    <cellStyle name="常规 107" xfId="2000"/>
    <cellStyle name="常规 11" xfId="1099"/>
    <cellStyle name="常规 11 2" xfId="1100"/>
    <cellStyle name="常规 11 2 2" xfId="1101"/>
    <cellStyle name="常规 11 3" xfId="1102"/>
    <cellStyle name="常规 11 4" xfId="1103"/>
    <cellStyle name="常规 11 9" xfId="2003"/>
    <cellStyle name="常规 111" xfId="2006"/>
    <cellStyle name="常规 12" xfId="1104"/>
    <cellStyle name="常规 12 2" xfId="1105"/>
    <cellStyle name="常规 12 2 2" xfId="1106"/>
    <cellStyle name="常规 12 3" xfId="1107"/>
    <cellStyle name="常规 12 4" xfId="1108"/>
    <cellStyle name="常规 13" xfId="1109"/>
    <cellStyle name="常规 13 2" xfId="1110"/>
    <cellStyle name="常规 14" xfId="1111"/>
    <cellStyle name="常规 14 2" xfId="1112"/>
    <cellStyle name="常规 15" xfId="1113"/>
    <cellStyle name="常规 15 2" xfId="1114"/>
    <cellStyle name="常规 16" xfId="1115"/>
    <cellStyle name="常规 16 2" xfId="1116"/>
    <cellStyle name="常规 17" xfId="1117"/>
    <cellStyle name="常规 17 2" xfId="1118"/>
    <cellStyle name="常规 172" xfId="2010"/>
    <cellStyle name="常规 18" xfId="1119"/>
    <cellStyle name="常规 18 2" xfId="1120"/>
    <cellStyle name="常规 19" xfId="1121"/>
    <cellStyle name="常规 19 2" xfId="1122"/>
    <cellStyle name="常规 2" xfId="1123"/>
    <cellStyle name="常规 2 10" xfId="1124"/>
    <cellStyle name="常规 2 10 2" xfId="1125"/>
    <cellStyle name="常规 2 11" xfId="1126"/>
    <cellStyle name="常规 2 11 2" xfId="1127"/>
    <cellStyle name="常规 2 12" xfId="1128"/>
    <cellStyle name="常规 2 2" xfId="1129"/>
    <cellStyle name="常规 2 2 2" xfId="1130"/>
    <cellStyle name="常规 2 2 2 2" xfId="1131"/>
    <cellStyle name="常规 2 2 2 2 2" xfId="1132"/>
    <cellStyle name="常规 2 2 2 2 2 2" xfId="1133"/>
    <cellStyle name="常规 2 2 2 2 3" xfId="1134"/>
    <cellStyle name="常规 2 2 2 3" xfId="1135"/>
    <cellStyle name="常规 2 2 2 3 2" xfId="1136"/>
    <cellStyle name="常规 2 2 2 4" xfId="1137"/>
    <cellStyle name="常规 2 2 3" xfId="1138"/>
    <cellStyle name="常规 2 2 3 2" xfId="1139"/>
    <cellStyle name="常规 2 2 3 2 2" xfId="1140"/>
    <cellStyle name="常规 2 2 3 3" xfId="1141"/>
    <cellStyle name="常规 2 2 4" xfId="1142"/>
    <cellStyle name="常规 2 2 4 2" xfId="1143"/>
    <cellStyle name="常规 2 2 4 2 2" xfId="1144"/>
    <cellStyle name="常规 2 2 4 3" xfId="1145"/>
    <cellStyle name="常规 2 2 5" xfId="1146"/>
    <cellStyle name="常规 2 2 5 2" xfId="1147"/>
    <cellStyle name="常规 2 2 6" xfId="1148"/>
    <cellStyle name="常规 2 24" xfId="2002"/>
    <cellStyle name="常规 2 3" xfId="1149"/>
    <cellStyle name="常规 2 3 2" xfId="1150"/>
    <cellStyle name="常规 2 3 2 2" xfId="1151"/>
    <cellStyle name="常规 2 3 2 2 2" xfId="1152"/>
    <cellStyle name="常规 2 3 2 3" xfId="1153"/>
    <cellStyle name="常规 2 3 3" xfId="1154"/>
    <cellStyle name="常规 2 3 3 2" xfId="1155"/>
    <cellStyle name="常规 2 3 4" xfId="1156"/>
    <cellStyle name="常规 2 3 4 2" xfId="1157"/>
    <cellStyle name="常规 2 4" xfId="1158"/>
    <cellStyle name="常规 2 4 2" xfId="1159"/>
    <cellStyle name="常规 2 4 2 2" xfId="1160"/>
    <cellStyle name="常规 2 4 2 2 2" xfId="1161"/>
    <cellStyle name="常规 2 4 2 3" xfId="1162"/>
    <cellStyle name="常规 2 4 3" xfId="1163"/>
    <cellStyle name="常规 2 4 3 2" xfId="1164"/>
    <cellStyle name="常规 2 4 4" xfId="1165"/>
    <cellStyle name="常规 2 5" xfId="1166"/>
    <cellStyle name="常规 2 5 2" xfId="1167"/>
    <cellStyle name="常规 2 5 2 2" xfId="1168"/>
    <cellStyle name="常规 2 5 3" xfId="1169"/>
    <cellStyle name="常规 2 6" xfId="1170"/>
    <cellStyle name="常规 2 6 2" xfId="1171"/>
    <cellStyle name="常规 2 7" xfId="1172"/>
    <cellStyle name="常规 2 8" xfId="1173"/>
    <cellStyle name="常规 2 8 2" xfId="1174"/>
    <cellStyle name="常规 2 8 2 2" xfId="1175"/>
    <cellStyle name="常规 2 8 3" xfId="1176"/>
    <cellStyle name="常规 2 9" xfId="1177"/>
    <cellStyle name="常规 2 9 2" xfId="1178"/>
    <cellStyle name="常规 2 9 2 2" xfId="1179"/>
    <cellStyle name="常规 2 9 3" xfId="1180"/>
    <cellStyle name="常规 2_统筹-校长（暂估）" xfId="1181"/>
    <cellStyle name="常规 20" xfId="1182"/>
    <cellStyle name="常规 21" xfId="1183"/>
    <cellStyle name="常规 21 2" xfId="1184"/>
    <cellStyle name="常规 22" xfId="1185"/>
    <cellStyle name="常规 23" xfId="1186"/>
    <cellStyle name="常规 23 2" xfId="1187"/>
    <cellStyle name="常规 24" xfId="1188"/>
    <cellStyle name="常规 25" xfId="1189"/>
    <cellStyle name="常规 25 2" xfId="1190"/>
    <cellStyle name="常规 26" xfId="1191"/>
    <cellStyle name="常规 26 2" xfId="1192"/>
    <cellStyle name="常规 27" xfId="1193"/>
    <cellStyle name="常规 27 2" xfId="1194"/>
    <cellStyle name="常规 28" xfId="1195"/>
    <cellStyle name="常规 28 2" xfId="1196"/>
    <cellStyle name="常规 29" xfId="1197"/>
    <cellStyle name="常规 29 2" xfId="1198"/>
    <cellStyle name="常规 292 2" xfId="2001"/>
    <cellStyle name="常规 293" xfId="2005"/>
    <cellStyle name="常规 3" xfId="1199"/>
    <cellStyle name="常规 3 2" xfId="1200"/>
    <cellStyle name="常规 3 2 2" xfId="1201"/>
    <cellStyle name="常规 3 2 2 2" xfId="1202"/>
    <cellStyle name="常规 3 2 2 2 2" xfId="1203"/>
    <cellStyle name="常规 3 2 2 3" xfId="1204"/>
    <cellStyle name="常规 3 2 3" xfId="1205"/>
    <cellStyle name="常规 3 2 3 2" xfId="1206"/>
    <cellStyle name="常规 3 2 4" xfId="1207"/>
    <cellStyle name="常规 3 2 4 2" xfId="1208"/>
    <cellStyle name="常规 3 2 5" xfId="1209"/>
    <cellStyle name="常规 3 2 5 2" xfId="1210"/>
    <cellStyle name="常规 3 2 6" xfId="1211"/>
    <cellStyle name="常规 3 2 7" xfId="1212"/>
    <cellStyle name="常规 3 3" xfId="1213"/>
    <cellStyle name="常规 3 3 2" xfId="1214"/>
    <cellStyle name="常规 3 3 2 2" xfId="1215"/>
    <cellStyle name="常规 3 3 2 2 2" xfId="1216"/>
    <cellStyle name="常规 3 3 2 3" xfId="1217"/>
    <cellStyle name="常规 3 3 3" xfId="1218"/>
    <cellStyle name="常规 3 3 3 2" xfId="1219"/>
    <cellStyle name="常规 3 3 4" xfId="1220"/>
    <cellStyle name="常规 3 3 4 2" xfId="1221"/>
    <cellStyle name="常规 3 3 5" xfId="1222"/>
    <cellStyle name="常规 3 3 5 2" xfId="1223"/>
    <cellStyle name="常规 3 3 6" xfId="1224"/>
    <cellStyle name="常规 3 4" xfId="1225"/>
    <cellStyle name="常规 3 4 2" xfId="1226"/>
    <cellStyle name="常规 3 4 2 2" xfId="1227"/>
    <cellStyle name="常规 3 4 2 2 2" xfId="1228"/>
    <cellStyle name="常规 3 4 2 3" xfId="1229"/>
    <cellStyle name="常规 3 4 3" xfId="1230"/>
    <cellStyle name="常规 3 4 3 2" xfId="1231"/>
    <cellStyle name="常规 3 4 4" xfId="1232"/>
    <cellStyle name="常规 3 4 4 2" xfId="1233"/>
    <cellStyle name="常规 3 4 9" xfId="2004"/>
    <cellStyle name="常规 3 5" xfId="1234"/>
    <cellStyle name="常规 3 5 2" xfId="1235"/>
    <cellStyle name="常规 3 5 2 2" xfId="1236"/>
    <cellStyle name="常规 3 5 3" xfId="1237"/>
    <cellStyle name="常规 3 6" xfId="1238"/>
    <cellStyle name="常规 3 7" xfId="1239"/>
    <cellStyle name="常规 3 7 2" xfId="1240"/>
    <cellStyle name="常规 3 7 2 2" xfId="1241"/>
    <cellStyle name="常规 3 7 3" xfId="1242"/>
    <cellStyle name="常规 3 8" xfId="1243"/>
    <cellStyle name="常规 3 8 2" xfId="1244"/>
    <cellStyle name="常规 3 9" xfId="1245"/>
    <cellStyle name="常规 3_统筹-校长（暂估）" xfId="1246"/>
    <cellStyle name="常规 30" xfId="1247"/>
    <cellStyle name="常规 30 2" xfId="1248"/>
    <cellStyle name="常规 31" xfId="1249"/>
    <cellStyle name="常规 31 2" xfId="1250"/>
    <cellStyle name="常规 32" xfId="1251"/>
    <cellStyle name="常规 32 2" xfId="1252"/>
    <cellStyle name="常规 33" xfId="1253"/>
    <cellStyle name="常规 33 2" xfId="1254"/>
    <cellStyle name="常规 34" xfId="1255"/>
    <cellStyle name="常规 34 2" xfId="1256"/>
    <cellStyle name="常规 35" xfId="1257"/>
    <cellStyle name="常规 35 2" xfId="1258"/>
    <cellStyle name="常规 36" xfId="1259"/>
    <cellStyle name="常规 36 2" xfId="1260"/>
    <cellStyle name="常规 37" xfId="1261"/>
    <cellStyle name="常规 37 2" xfId="1262"/>
    <cellStyle name="常规 38" xfId="1263"/>
    <cellStyle name="常规 38 2" xfId="1264"/>
    <cellStyle name="常规 39" xfId="1265"/>
    <cellStyle name="常规 39 2" xfId="1266"/>
    <cellStyle name="常规 4" xfId="1267"/>
    <cellStyle name="常规 4 2" xfId="1268"/>
    <cellStyle name="常规 4 2 2" xfId="1269"/>
    <cellStyle name="常规 4 2 2 2" xfId="1270"/>
    <cellStyle name="常规 4 2 3" xfId="1271"/>
    <cellStyle name="常规 4 3" xfId="1272"/>
    <cellStyle name="常规 4 3 2" xfId="1273"/>
    <cellStyle name="常规 4 4" xfId="1274"/>
    <cellStyle name="常规 4 4 2" xfId="1275"/>
    <cellStyle name="常规 4 5" xfId="1276"/>
    <cellStyle name="常规 4 5 2" xfId="1277"/>
    <cellStyle name="常规 4 6" xfId="1278"/>
    <cellStyle name="常规 4 6 2" xfId="1279"/>
    <cellStyle name="常规 4 7" xfId="1280"/>
    <cellStyle name="常规 4 8" xfId="1281"/>
    <cellStyle name="常规 40" xfId="1282"/>
    <cellStyle name="常规 40 2" xfId="1283"/>
    <cellStyle name="常规 41" xfId="1284"/>
    <cellStyle name="常规 41 2" xfId="1285"/>
    <cellStyle name="常规 42" xfId="1286"/>
    <cellStyle name="常规 42 2" xfId="1287"/>
    <cellStyle name="常规 43" xfId="1288"/>
    <cellStyle name="常规 43 2" xfId="1289"/>
    <cellStyle name="常规 44" xfId="1290"/>
    <cellStyle name="常规 44 2" xfId="1291"/>
    <cellStyle name="常规 45" xfId="1292"/>
    <cellStyle name="常规 45 2" xfId="1293"/>
    <cellStyle name="常规 46" xfId="1294"/>
    <cellStyle name="常规 46 2" xfId="1295"/>
    <cellStyle name="常规 47" xfId="1296"/>
    <cellStyle name="常规 47 2" xfId="1297"/>
    <cellStyle name="常规 48" xfId="1298"/>
    <cellStyle name="常规 48 2" xfId="1299"/>
    <cellStyle name="常规 49" xfId="1300"/>
    <cellStyle name="常规 49 2" xfId="1301"/>
    <cellStyle name="常规 5" xfId="1302"/>
    <cellStyle name="常规 5 2" xfId="1303"/>
    <cellStyle name="常规 5 2 2" xfId="1304"/>
    <cellStyle name="常规 5 2 2 2" xfId="1305"/>
    <cellStyle name="常规 5 2 3" xfId="1306"/>
    <cellStyle name="常规 5 3" xfId="1307"/>
    <cellStyle name="常规 5 3 2" xfId="1308"/>
    <cellStyle name="常规 5 4" xfId="1309"/>
    <cellStyle name="常规 5 4 2" xfId="1310"/>
    <cellStyle name="常规 5 5" xfId="1311"/>
    <cellStyle name="常规 5 5 2" xfId="1312"/>
    <cellStyle name="常规 5 6" xfId="1313"/>
    <cellStyle name="常规 50" xfId="1314"/>
    <cellStyle name="常规 50 2" xfId="1315"/>
    <cellStyle name="常规 51" xfId="1316"/>
    <cellStyle name="常规 51 2" xfId="1317"/>
    <cellStyle name="常规 52" xfId="1318"/>
    <cellStyle name="常规 52 2" xfId="1319"/>
    <cellStyle name="常规 53" xfId="1320"/>
    <cellStyle name="常规 53 2" xfId="1321"/>
    <cellStyle name="常规 54" xfId="1322"/>
    <cellStyle name="常规 54 2" xfId="1323"/>
    <cellStyle name="常规 55" xfId="1324"/>
    <cellStyle name="常规 55 2" xfId="1325"/>
    <cellStyle name="常规 56" xfId="1326"/>
    <cellStyle name="常规 56 2" xfId="1327"/>
    <cellStyle name="常规 57" xfId="1328"/>
    <cellStyle name="常规 57 2" xfId="1329"/>
    <cellStyle name="常规 58" xfId="1330"/>
    <cellStyle name="常规 58 2" xfId="1331"/>
    <cellStyle name="常规 59" xfId="1332"/>
    <cellStyle name="常规 59 2" xfId="1333"/>
    <cellStyle name="常规 6" xfId="1334"/>
    <cellStyle name="常规 6 2" xfId="1335"/>
    <cellStyle name="常规 6 2 2" xfId="1336"/>
    <cellStyle name="常规 6 2 2 2" xfId="1337"/>
    <cellStyle name="常规 6 2 3" xfId="1338"/>
    <cellStyle name="常规 6 3" xfId="1339"/>
    <cellStyle name="常规 6 3 2" xfId="1340"/>
    <cellStyle name="常规 6 4" xfId="1341"/>
    <cellStyle name="常规 6 4 2" xfId="1342"/>
    <cellStyle name="常规 6 5" xfId="1343"/>
    <cellStyle name="常规 6 5 2" xfId="1344"/>
    <cellStyle name="常规 6 6" xfId="1345"/>
    <cellStyle name="常规 60" xfId="1346"/>
    <cellStyle name="常规 60 2" xfId="1347"/>
    <cellStyle name="常规 61" xfId="1348"/>
    <cellStyle name="常规 61 2" xfId="1349"/>
    <cellStyle name="常规 62" xfId="1350"/>
    <cellStyle name="常规 62 2" xfId="1351"/>
    <cellStyle name="常规 63" xfId="1352"/>
    <cellStyle name="常规 63 2" xfId="1353"/>
    <cellStyle name="常规 64" xfId="1354"/>
    <cellStyle name="常规 64 2" xfId="1355"/>
    <cellStyle name="常规 65" xfId="1356"/>
    <cellStyle name="常规 66" xfId="1357"/>
    <cellStyle name="常规 67" xfId="1358"/>
    <cellStyle name="常规 68" xfId="1359"/>
    <cellStyle name="常规 69" xfId="1360"/>
    <cellStyle name="常规 7" xfId="1361"/>
    <cellStyle name="常规 7 2" xfId="1362"/>
    <cellStyle name="常规 7 2 2" xfId="1363"/>
    <cellStyle name="常规 7 2 2 2" xfId="1364"/>
    <cellStyle name="常规 7 2 3" xfId="1365"/>
    <cellStyle name="常规 7 3" xfId="1366"/>
    <cellStyle name="常规 7 3 2" xfId="1367"/>
    <cellStyle name="常规 7 4" xfId="1368"/>
    <cellStyle name="常规 7 4 2" xfId="1369"/>
    <cellStyle name="常规 7 5" xfId="1370"/>
    <cellStyle name="常规 7 5 2" xfId="1371"/>
    <cellStyle name="常规 7 6" xfId="1372"/>
    <cellStyle name="常规 70" xfId="1373"/>
    <cellStyle name="常规 71" xfId="1374"/>
    <cellStyle name="常规 72" xfId="1375"/>
    <cellStyle name="常规 73" xfId="1376"/>
    <cellStyle name="常规 74" xfId="1377"/>
    <cellStyle name="常规 75" xfId="1378"/>
    <cellStyle name="常规 76" xfId="1379"/>
    <cellStyle name="常规 77" xfId="1380"/>
    <cellStyle name="常规 78" xfId="1381"/>
    <cellStyle name="常规 79" xfId="1382"/>
    <cellStyle name="常规 8" xfId="1383"/>
    <cellStyle name="常规 8 2" xfId="1384"/>
    <cellStyle name="常规 8 2 2" xfId="1385"/>
    <cellStyle name="常规 8 2 2 2" xfId="1386"/>
    <cellStyle name="常规 8 2 3" xfId="1387"/>
    <cellStyle name="常规 8 3" xfId="1388"/>
    <cellStyle name="常规 8 3 2" xfId="1389"/>
    <cellStyle name="常规 8 4" xfId="1390"/>
    <cellStyle name="常规 8 4 2" xfId="1391"/>
    <cellStyle name="常规 8 5" xfId="1392"/>
    <cellStyle name="常规 8 5 2" xfId="1393"/>
    <cellStyle name="常规 8 6" xfId="1394"/>
    <cellStyle name="常规 80" xfId="1395"/>
    <cellStyle name="常规 81" xfId="1396"/>
    <cellStyle name="常规 82" xfId="1397"/>
    <cellStyle name="常规 83" xfId="1398"/>
    <cellStyle name="常规 84" xfId="1399"/>
    <cellStyle name="常规 85" xfId="1400"/>
    <cellStyle name="常规 86" xfId="1401"/>
    <cellStyle name="常规 87" xfId="1402"/>
    <cellStyle name="常规 88" xfId="1403"/>
    <cellStyle name="常规 89" xfId="1404"/>
    <cellStyle name="常规 9" xfId="1405"/>
    <cellStyle name="常规 9 2" xfId="1406"/>
    <cellStyle name="常规 9 2 2" xfId="1407"/>
    <cellStyle name="常规 9 2 2 2" xfId="1408"/>
    <cellStyle name="常规 9 2 2 2 2" xfId="1409"/>
    <cellStyle name="常规 9 2 2 3" xfId="1410"/>
    <cellStyle name="常规 9 2 3" xfId="1411"/>
    <cellStyle name="常规 9 2 3 2" xfId="1412"/>
    <cellStyle name="常规 9 2 4" xfId="1413"/>
    <cellStyle name="常规 9 3" xfId="1414"/>
    <cellStyle name="常规 9 3 2" xfId="1415"/>
    <cellStyle name="常规 9 3 2 2" xfId="1416"/>
    <cellStyle name="常规 9 3 3" xfId="1417"/>
    <cellStyle name="常规 9 4" xfId="1418"/>
    <cellStyle name="常规 9 4 2" xfId="1419"/>
    <cellStyle name="常规 9 4 2 2" xfId="1420"/>
    <cellStyle name="常规 9 4 3" xfId="1421"/>
    <cellStyle name="常规 9 5" xfId="1422"/>
    <cellStyle name="常规 9 5 2" xfId="1423"/>
    <cellStyle name="常规 9 6" xfId="1424"/>
    <cellStyle name="常规 90" xfId="1425"/>
    <cellStyle name="常规 91" xfId="1426"/>
    <cellStyle name="常规 92" xfId="1427"/>
    <cellStyle name="常规 93" xfId="1428"/>
    <cellStyle name="常规 94" xfId="1429"/>
    <cellStyle name="常规 95" xfId="1430"/>
    <cellStyle name="常规 96" xfId="1431"/>
    <cellStyle name="常规 97" xfId="1432"/>
    <cellStyle name="常规 98" xfId="1433"/>
    <cellStyle name="常规 99" xfId="1434"/>
    <cellStyle name="常规_Sheet1" xfId="2008"/>
    <cellStyle name="超链接 2" xfId="1435"/>
    <cellStyle name="好 2" xfId="1436"/>
    <cellStyle name="好 2 2" xfId="1437"/>
    <cellStyle name="好 2 2 2" xfId="1438"/>
    <cellStyle name="好 2 3" xfId="1439"/>
    <cellStyle name="好 3" xfId="1440"/>
    <cellStyle name="好 3 2" xfId="1441"/>
    <cellStyle name="好 3 2 2" xfId="1442"/>
    <cellStyle name="好 3 3" xfId="1443"/>
    <cellStyle name="好 4" xfId="1444"/>
    <cellStyle name="好 4 2" xfId="1445"/>
    <cellStyle name="好 4 2 2" xfId="1446"/>
    <cellStyle name="好 4 3" xfId="1447"/>
    <cellStyle name="好 5" xfId="1448"/>
    <cellStyle name="好 5 2" xfId="1449"/>
    <cellStyle name="好 6" xfId="1450"/>
    <cellStyle name="好 6 2" xfId="1451"/>
    <cellStyle name="好 7" xfId="1452"/>
    <cellStyle name="好 7 2" xfId="1453"/>
    <cellStyle name="好 8" xfId="1454"/>
    <cellStyle name="好_2013见习培训经费表下半年(chen)2014年9月" xfId="1455"/>
    <cellStyle name="好_2013见习培训经费表下半年(chen)2014年9月 2" xfId="1456"/>
    <cellStyle name="好_2013见习培训经费表下半年(chen)2014年9月 2 2" xfId="1457"/>
    <cellStyle name="好_2013见习培训经费表下半年(chen)2014年9月 2 2 2" xfId="1458"/>
    <cellStyle name="好_2013见习培训经费表下半年(chen)2014年9月 2 3" xfId="1459"/>
    <cellStyle name="好_2013见习培训经费表下半年(chen)2014年9月 3" xfId="1460"/>
    <cellStyle name="好_2013见习培训经费表下半年(chen)2014年9月 3 2" xfId="1461"/>
    <cellStyle name="好_2013见习培训经费表下半年(chen)2014年9月 4" xfId="1462"/>
    <cellStyle name="好_2013见习培训经费表下半年(chen)2014年9月 4 2" xfId="1463"/>
    <cellStyle name="好_2013见习培训经费表下半年(chen)2014年9月 5" xfId="1464"/>
    <cellStyle name="好_2014年聘用学校导师带教经费表" xfId="1465"/>
    <cellStyle name="好_2014年聘用学校导师带教经费表 2" xfId="1466"/>
    <cellStyle name="好_2014年聘用学校导师带教经费表 2 2" xfId="1467"/>
    <cellStyle name="好_2014年聘用学校导师带教经费表 2 2 2" xfId="1468"/>
    <cellStyle name="好_2014年聘用学校导师带教经费表 2 3" xfId="1469"/>
    <cellStyle name="好_2014年聘用学校导师带教经费表 3" xfId="1470"/>
    <cellStyle name="好_2014年聘用学校导师带教经费表 3 2" xfId="1471"/>
    <cellStyle name="好_2014年聘用学校导师带教经费表 3 2 2" xfId="1472"/>
    <cellStyle name="好_2014年聘用学校导师带教经费表 3 3" xfId="1473"/>
    <cellStyle name="好_2014年聘用学校导师带教经费表 4" xfId="1474"/>
    <cellStyle name="好_2014年聘用学校导师带教经费表 4 2" xfId="1475"/>
    <cellStyle name="好_2014年聘用学校导师带教经费表 4 2 2" xfId="1476"/>
    <cellStyle name="好_2014年聘用学校导师带教经费表 4 3" xfId="1477"/>
    <cellStyle name="好_2014年聘用学校导师带教经费表 5" xfId="1478"/>
    <cellStyle name="好_2014年聘用学校导师带教经费表 5 2" xfId="1479"/>
    <cellStyle name="好_2014年聘用学校导师带教经费表 6" xfId="1480"/>
    <cellStyle name="好_2014年聘用学校导师带教经费表 6 2" xfId="1481"/>
    <cellStyle name="好_2014年聘用学校导师带教经费表 7" xfId="1482"/>
    <cellStyle name="好_2014年终考核奖完整版-给核算中心" xfId="1483"/>
    <cellStyle name="好_2014年终考核奖完整版-给核算中心 2" xfId="1484"/>
    <cellStyle name="好_2014年终考核奖完整版-给核算中心 2 2" xfId="1485"/>
    <cellStyle name="好_2014年终考核奖完整版-给核算中心 2 2 2" xfId="1486"/>
    <cellStyle name="好_2014年终考核奖完整版-给核算中心 2 3" xfId="1487"/>
    <cellStyle name="好_2014年终考核奖完整版-给核算中心 3" xfId="1488"/>
    <cellStyle name="好_2014年终考核奖完整版-给核算中心 3 2" xfId="1489"/>
    <cellStyle name="好_2014年终考核奖完整版-给核算中心 4" xfId="1490"/>
    <cellStyle name="好_2014年终考核奖完整版-给核算中心 4 2" xfId="1491"/>
    <cellStyle name="好_2014年终考核奖完整版-给核算中心 5" xfId="1492"/>
    <cellStyle name="好_2014优秀学校奖励测算表" xfId="1493"/>
    <cellStyle name="好_2014优秀学校奖励测算表 2" xfId="1494"/>
    <cellStyle name="好_2014优秀学校奖励测算表 2 2" xfId="1495"/>
    <cellStyle name="好_2014优秀学校奖励测算表 2 2 2" xfId="1496"/>
    <cellStyle name="好_2014优秀学校奖励测算表 2 3" xfId="1497"/>
    <cellStyle name="好_2014优秀学校奖励测算表 3" xfId="1498"/>
    <cellStyle name="好_2014优秀学校奖励测算表 3 2" xfId="1499"/>
    <cellStyle name="好_2014优秀学校奖励测算表 4" xfId="1500"/>
    <cellStyle name="好_2014优秀学校奖励测算表 4 2" xfId="1501"/>
    <cellStyle name="好_2014优秀学校奖励测算表 5" xfId="1502"/>
    <cellStyle name="好_2015年年终奖预发表-给核算中心" xfId="1503"/>
    <cellStyle name="好_2015年年终奖预发表-给核算中心 2" xfId="1504"/>
    <cellStyle name="好_2015年年终奖预发表-给核算中心 2 2" xfId="1505"/>
    <cellStyle name="好_2015年年终奖预发表-给核算中心 2 2 2" xfId="1506"/>
    <cellStyle name="好_2015年年终奖预发表-给核算中心 2 3" xfId="1507"/>
    <cellStyle name="好_2015年年终奖预发表-给核算中心 3" xfId="1508"/>
    <cellStyle name="好_2015年年终奖预发表-给核算中心 3 2" xfId="1509"/>
    <cellStyle name="好_2015年年终奖预发表-给核算中心 4" xfId="1510"/>
    <cellStyle name="好_2015年年终奖预发表-给核算中心 4 2" xfId="1511"/>
    <cellStyle name="好_2015年年终奖预发表-给核算中心 5" xfId="1512"/>
    <cellStyle name="好_2016年3月校长职级工资（核算中心）" xfId="1513"/>
    <cellStyle name="好_2016年3月校长职级工资（核算中心） 2" xfId="1514"/>
    <cellStyle name="好_2016年3月校长职级工资（核算中心） 2 2" xfId="1515"/>
    <cellStyle name="好_2016年3月校长职级工资（核算中心） 2 2 2" xfId="1516"/>
    <cellStyle name="好_2016年3月校长职级工资（核算中心） 2 3" xfId="1517"/>
    <cellStyle name="好_2016年3月校长职级工资（核算中心） 3" xfId="1518"/>
    <cellStyle name="好_2016年3月校长职级工资（核算中心） 3 2" xfId="1519"/>
    <cellStyle name="好_2016年3月校长职级工资（核算中心） 4" xfId="1520"/>
    <cellStyle name="好_2016年3月校长职级工资（核算中心） 4 2" xfId="1521"/>
    <cellStyle name="好_2016年3月校长职级工资（核算中心） 5" xfId="1522"/>
    <cellStyle name="好_A0汇总表（报计财科：项目津贴发放）" xfId="1523"/>
    <cellStyle name="好_A0汇总表（报计财科：项目津贴发放） 2" xfId="1524"/>
    <cellStyle name="好_A0汇总表（报计财科：项目津贴发放） 2 2" xfId="1525"/>
    <cellStyle name="好_A0汇总表（报计财科：项目津贴发放） 2 2 2" xfId="1526"/>
    <cellStyle name="好_A0汇总表（报计财科：项目津贴发放） 2 3" xfId="1527"/>
    <cellStyle name="好_A0汇总表（报计财科：项目津贴发放） 3" xfId="1528"/>
    <cellStyle name="好_A0汇总表（报计财科：项目津贴发放） 3 2" xfId="1529"/>
    <cellStyle name="好_A0汇总表（报计财科：项目津贴发放） 4" xfId="1530"/>
    <cellStyle name="好_A0汇总表（报计财科：项目津贴发放） 4 2" xfId="1531"/>
    <cellStyle name="好_A0汇总表（报计财科：项目津贴发放） 5" xfId="1532"/>
    <cellStyle name="好_统筹-校长（暂估）" xfId="1533"/>
    <cellStyle name="好_统筹-校长（暂估） 2" xfId="1534"/>
    <cellStyle name="好_统筹-校长（暂估） 2 2" xfId="1535"/>
    <cellStyle name="好_统筹-校长（暂估） 2 2 2" xfId="1536"/>
    <cellStyle name="好_统筹-校长（暂估） 2 3" xfId="1537"/>
    <cellStyle name="好_统筹-校长（暂估） 3" xfId="1538"/>
    <cellStyle name="好_统筹-校长（暂估） 3 2" xfId="1539"/>
    <cellStyle name="好_统筹-校长（暂估） 4" xfId="1540"/>
    <cellStyle name="好_统筹-校长（暂估） 4 2" xfId="1541"/>
    <cellStyle name="好_统筹-校长（暂估） 5" xfId="1542"/>
    <cellStyle name="好_校长、书记2015年增量部分发放清单" xfId="1543"/>
    <cellStyle name="好_校长、书记2015年增量部分发放清单 2" xfId="1544"/>
    <cellStyle name="好_校长、书记2015年增量部分发放清单 2 2" xfId="1545"/>
    <cellStyle name="好_校长、书记2015年增量部分发放清单 2 2 2" xfId="1546"/>
    <cellStyle name="好_校长、书记2015年增量部分发放清单 2 3" xfId="1547"/>
    <cellStyle name="好_校长、书记2015年增量部分发放清单 3" xfId="1548"/>
    <cellStyle name="好_校长、书记2015年增量部分发放清单 3 2" xfId="1549"/>
    <cellStyle name="好_校长、书记2015年增量部分发放清单 4" xfId="1550"/>
    <cellStyle name="好_校长、书记2015年增量部分发放清单 4 2" xfId="1551"/>
    <cellStyle name="好_校长、书记2015年增量部分发放清单 5" xfId="1552"/>
    <cellStyle name="好_校长职级、亚信会奖励、教师节奖励镇管" xfId="1553"/>
    <cellStyle name="好_校长职级、亚信会奖励、教师节奖励镇管 2" xfId="1554"/>
    <cellStyle name="好_校长职级、亚信会奖励、教师节奖励镇管 2 2" xfId="1555"/>
    <cellStyle name="好_校长职级、亚信会奖励、教师节奖励镇管 2 2 2" xfId="1556"/>
    <cellStyle name="好_校长职级、亚信会奖励、教师节奖励镇管 2 3" xfId="1557"/>
    <cellStyle name="好_校长职级、亚信会奖励、教师节奖励镇管 3" xfId="1558"/>
    <cellStyle name="好_校长职级、亚信会奖励、教师节奖励镇管 3 2" xfId="1559"/>
    <cellStyle name="好_校长职级、亚信会奖励、教师节奖励镇管 4" xfId="1560"/>
    <cellStyle name="好_校长职级、亚信会奖励、教师节奖励镇管 4 2" xfId="1561"/>
    <cellStyle name="好_校长职级、亚信会奖励、教师节奖励镇管 5" xfId="1562"/>
    <cellStyle name="好_镇管汇总" xfId="1563"/>
    <cellStyle name="好_镇管汇总 2" xfId="1564"/>
    <cellStyle name="好_镇管汇总 2 2" xfId="1565"/>
    <cellStyle name="好_镇管汇总 2 2 2" xfId="1566"/>
    <cellStyle name="好_镇管汇总 2 3" xfId="1567"/>
    <cellStyle name="好_镇管汇总 3" xfId="1568"/>
    <cellStyle name="好_镇管汇总 3 2" xfId="1569"/>
    <cellStyle name="好_镇管汇总 4" xfId="1570"/>
    <cellStyle name="好_镇管汇总 4 2" xfId="1571"/>
    <cellStyle name="好_镇管汇总 5" xfId="1572"/>
    <cellStyle name="汇总 2" xfId="1573"/>
    <cellStyle name="汇总 2 2" xfId="1574"/>
    <cellStyle name="汇总 2 2 2" xfId="1575"/>
    <cellStyle name="汇总 2 3" xfId="1576"/>
    <cellStyle name="汇总 3" xfId="1577"/>
    <cellStyle name="汇总 3 2" xfId="1578"/>
    <cellStyle name="汇总 3 2 2" xfId="1579"/>
    <cellStyle name="汇总 3 3" xfId="1580"/>
    <cellStyle name="汇总 4" xfId="1581"/>
    <cellStyle name="汇总 4 2" xfId="1582"/>
    <cellStyle name="汇总 4 2 2" xfId="1583"/>
    <cellStyle name="汇总 4 3" xfId="1584"/>
    <cellStyle name="汇总 5" xfId="1585"/>
    <cellStyle name="汇总 5 2" xfId="1586"/>
    <cellStyle name="汇总 6" xfId="1587"/>
    <cellStyle name="汇总 6 2" xfId="1588"/>
    <cellStyle name="计算 2" xfId="1589"/>
    <cellStyle name="计算 2 2" xfId="1590"/>
    <cellStyle name="计算 2 2 2" xfId="1591"/>
    <cellStyle name="计算 2 3" xfId="1592"/>
    <cellStyle name="计算 3" xfId="1593"/>
    <cellStyle name="计算 3 2" xfId="1594"/>
    <cellStyle name="计算 3 2 2" xfId="1595"/>
    <cellStyle name="计算 3 3" xfId="1596"/>
    <cellStyle name="计算 4" xfId="1597"/>
    <cellStyle name="计算 4 2" xfId="1598"/>
    <cellStyle name="计算 4 2 2" xfId="1599"/>
    <cellStyle name="计算 4 3" xfId="1600"/>
    <cellStyle name="计算 5" xfId="1601"/>
    <cellStyle name="计算 5 2" xfId="1602"/>
    <cellStyle name="计算 6" xfId="1603"/>
    <cellStyle name="计算 6 2" xfId="1604"/>
    <cellStyle name="计算 7" xfId="1605"/>
    <cellStyle name="计算 7 2" xfId="1606"/>
    <cellStyle name="检查单元格 2" xfId="1607"/>
    <cellStyle name="检查单元格 2 2" xfId="1608"/>
    <cellStyle name="检查单元格 2 2 2" xfId="1609"/>
    <cellStyle name="检查单元格 2 3" xfId="1610"/>
    <cellStyle name="检查单元格 3" xfId="1611"/>
    <cellStyle name="检查单元格 3 2" xfId="1612"/>
    <cellStyle name="检查单元格 3 2 2" xfId="1613"/>
    <cellStyle name="检查单元格 3 3" xfId="1614"/>
    <cellStyle name="检查单元格 4" xfId="1615"/>
    <cellStyle name="检查单元格 4 2" xfId="1616"/>
    <cellStyle name="检查单元格 4 2 2" xfId="1617"/>
    <cellStyle name="检查单元格 4 3" xfId="1618"/>
    <cellStyle name="检查单元格 5" xfId="1619"/>
    <cellStyle name="检查单元格 5 2" xfId="1620"/>
    <cellStyle name="检查单元格 6" xfId="1621"/>
    <cellStyle name="检查单元格 6 2" xfId="1622"/>
    <cellStyle name="检查单元格 7" xfId="1623"/>
    <cellStyle name="检查单元格 7 2" xfId="1624"/>
    <cellStyle name="解释性文本 2" xfId="1625"/>
    <cellStyle name="解释性文本 2 2" xfId="1626"/>
    <cellStyle name="解释性文本 2 2 2" xfId="1627"/>
    <cellStyle name="解释性文本 2 3" xfId="1628"/>
    <cellStyle name="解释性文本 3" xfId="1629"/>
    <cellStyle name="解释性文本 3 2" xfId="1630"/>
    <cellStyle name="解释性文本 3 2 2" xfId="1631"/>
    <cellStyle name="解释性文本 3 3" xfId="1632"/>
    <cellStyle name="解释性文本 4" xfId="1633"/>
    <cellStyle name="解释性文本 4 2" xfId="1634"/>
    <cellStyle name="解释性文本 4 2 2" xfId="1635"/>
    <cellStyle name="解释性文本 4 3" xfId="1636"/>
    <cellStyle name="解释性文本 5" xfId="1637"/>
    <cellStyle name="解释性文本 5 2" xfId="1638"/>
    <cellStyle name="解释性文本 6" xfId="1639"/>
    <cellStyle name="解释性文本 6 2" xfId="1640"/>
    <cellStyle name="警告文本 2" xfId="1641"/>
    <cellStyle name="警告文本 2 2" xfId="1642"/>
    <cellStyle name="警告文本 2 2 2" xfId="1643"/>
    <cellStyle name="警告文本 2 3" xfId="1644"/>
    <cellStyle name="警告文本 3" xfId="1645"/>
    <cellStyle name="警告文本 3 2" xfId="1646"/>
    <cellStyle name="警告文本 3 2 2" xfId="1647"/>
    <cellStyle name="警告文本 3 3" xfId="1648"/>
    <cellStyle name="警告文本 4" xfId="1649"/>
    <cellStyle name="警告文本 4 2" xfId="1650"/>
    <cellStyle name="警告文本 4 2 2" xfId="1651"/>
    <cellStyle name="警告文本 4 3" xfId="1652"/>
    <cellStyle name="警告文本 5" xfId="1653"/>
    <cellStyle name="警告文本 5 2" xfId="1654"/>
    <cellStyle name="警告文本 6" xfId="1655"/>
    <cellStyle name="警告文本 6 2" xfId="1656"/>
    <cellStyle name="链接单元格 2" xfId="1657"/>
    <cellStyle name="链接单元格 2 2" xfId="1658"/>
    <cellStyle name="链接单元格 2 2 2" xfId="1659"/>
    <cellStyle name="链接单元格 2 3" xfId="1660"/>
    <cellStyle name="链接单元格 3" xfId="1661"/>
    <cellStyle name="链接单元格 3 2" xfId="1662"/>
    <cellStyle name="链接单元格 3 2 2" xfId="1663"/>
    <cellStyle name="链接单元格 3 3" xfId="1664"/>
    <cellStyle name="链接单元格 4" xfId="1665"/>
    <cellStyle name="链接单元格 4 2" xfId="1666"/>
    <cellStyle name="链接单元格 4 2 2" xfId="1667"/>
    <cellStyle name="链接单元格 4 3" xfId="1668"/>
    <cellStyle name="链接单元格 5" xfId="1669"/>
    <cellStyle name="链接单元格 5 2" xfId="1670"/>
    <cellStyle name="链接单元格 6" xfId="1671"/>
    <cellStyle name="链接单元格 6 2" xfId="1672"/>
    <cellStyle name="千位分隔 10" xfId="1673"/>
    <cellStyle name="千位分隔 10 2" xfId="1674"/>
    <cellStyle name="千位分隔 11" xfId="1675"/>
    <cellStyle name="千位分隔 12" xfId="1676"/>
    <cellStyle name="千位分隔 12 2" xfId="1677"/>
    <cellStyle name="千位分隔 13" xfId="1678"/>
    <cellStyle name="千位分隔 14" xfId="1679"/>
    <cellStyle name="千位分隔 14 2" xfId="1680"/>
    <cellStyle name="千位分隔 2" xfId="1681"/>
    <cellStyle name="千位分隔 2 2" xfId="1682"/>
    <cellStyle name="千位分隔 2 2 2" xfId="1683"/>
    <cellStyle name="千位分隔 2 2 2 2" xfId="1684"/>
    <cellStyle name="千位分隔 2 2 3" xfId="1685"/>
    <cellStyle name="千位分隔 2 2 4" xfId="1686"/>
    <cellStyle name="千位分隔 2 3" xfId="1687"/>
    <cellStyle name="千位分隔 2 3 2" xfId="1688"/>
    <cellStyle name="千位分隔 2 3 3" xfId="1689"/>
    <cellStyle name="千位分隔 2 4" xfId="1690"/>
    <cellStyle name="千位分隔 2 4 2" xfId="1691"/>
    <cellStyle name="千位分隔 2 4 2 2" xfId="1692"/>
    <cellStyle name="千位分隔 2 4 3" xfId="1693"/>
    <cellStyle name="千位分隔 2 5" xfId="1694"/>
    <cellStyle name="千位分隔 2 5 2" xfId="1695"/>
    <cellStyle name="千位分隔 2 6" xfId="1696"/>
    <cellStyle name="千位分隔 2 6 2" xfId="1697"/>
    <cellStyle name="千位分隔 2 7" xfId="1698"/>
    <cellStyle name="千位分隔 2 7 2" xfId="1699"/>
    <cellStyle name="千位分隔 2 8" xfId="1700"/>
    <cellStyle name="千位分隔 2 8 2" xfId="1701"/>
    <cellStyle name="千位分隔 2 9" xfId="1702"/>
    <cellStyle name="千位分隔 3" xfId="1703"/>
    <cellStyle name="千位分隔 3 2" xfId="1704"/>
    <cellStyle name="千位分隔 3 2 2" xfId="1705"/>
    <cellStyle name="千位分隔 3 2 2 2" xfId="1706"/>
    <cellStyle name="千位分隔 3 2 3" xfId="1707"/>
    <cellStyle name="千位分隔 3 3" xfId="1708"/>
    <cellStyle name="千位分隔 3 3 2" xfId="1709"/>
    <cellStyle name="千位分隔 3 4" xfId="1710"/>
    <cellStyle name="千位分隔 4" xfId="1711"/>
    <cellStyle name="千位分隔 4 2" xfId="1712"/>
    <cellStyle name="千位分隔 4 3" xfId="1713"/>
    <cellStyle name="千位分隔 5" xfId="1714"/>
    <cellStyle name="千位分隔 5 2" xfId="1715"/>
    <cellStyle name="千位分隔 5 2 2" xfId="1716"/>
    <cellStyle name="千位分隔 5 3" xfId="1717"/>
    <cellStyle name="千位分隔 6" xfId="1718"/>
    <cellStyle name="千位分隔 6 2" xfId="1719"/>
    <cellStyle name="千位分隔 6 2 2" xfId="1720"/>
    <cellStyle name="千位分隔 6 3" xfId="1721"/>
    <cellStyle name="千位分隔 7" xfId="1722"/>
    <cellStyle name="千位分隔 7 2" xfId="1723"/>
    <cellStyle name="千位分隔 8" xfId="1724"/>
    <cellStyle name="千位分隔 8 2" xfId="1725"/>
    <cellStyle name="千位分隔 9" xfId="1726"/>
    <cellStyle name="千位分隔[0]" xfId="2007" builtinId="6"/>
    <cellStyle name="千位分隔[0] 2" xfId="2009"/>
    <cellStyle name="强调文字颜色 1 2" xfId="1727"/>
    <cellStyle name="强调文字颜色 1 2 2" xfId="1728"/>
    <cellStyle name="强调文字颜色 1 2 2 2" xfId="1729"/>
    <cellStyle name="强调文字颜色 1 2 3" xfId="1730"/>
    <cellStyle name="强调文字颜色 1 3" xfId="1731"/>
    <cellStyle name="强调文字颜色 1 3 2" xfId="1732"/>
    <cellStyle name="强调文字颜色 1 3 2 2" xfId="1733"/>
    <cellStyle name="强调文字颜色 1 3 3" xfId="1734"/>
    <cellStyle name="强调文字颜色 1 4" xfId="1735"/>
    <cellStyle name="强调文字颜色 1 4 2" xfId="1736"/>
    <cellStyle name="强调文字颜色 1 4 2 2" xfId="1737"/>
    <cellStyle name="强调文字颜色 1 4 3" xfId="1738"/>
    <cellStyle name="强调文字颜色 1 5" xfId="1739"/>
    <cellStyle name="强调文字颜色 1 5 2" xfId="1740"/>
    <cellStyle name="强调文字颜色 1 6" xfId="1741"/>
    <cellStyle name="强调文字颜色 1 6 2" xfId="1742"/>
    <cellStyle name="强调文字颜色 1 7" xfId="1743"/>
    <cellStyle name="强调文字颜色 1 7 2" xfId="1744"/>
    <cellStyle name="强调文字颜色 2 2" xfId="1745"/>
    <cellStyle name="强调文字颜色 2 2 2" xfId="1746"/>
    <cellStyle name="强调文字颜色 2 2 2 2" xfId="1747"/>
    <cellStyle name="强调文字颜色 2 2 3" xfId="1748"/>
    <cellStyle name="强调文字颜色 2 3" xfId="1749"/>
    <cellStyle name="强调文字颜色 2 3 2" xfId="1750"/>
    <cellStyle name="强调文字颜色 2 3 2 2" xfId="1751"/>
    <cellStyle name="强调文字颜色 2 3 3" xfId="1752"/>
    <cellStyle name="强调文字颜色 2 4" xfId="1753"/>
    <cellStyle name="强调文字颜色 2 4 2" xfId="1754"/>
    <cellStyle name="强调文字颜色 2 4 2 2" xfId="1755"/>
    <cellStyle name="强调文字颜色 2 4 3" xfId="1756"/>
    <cellStyle name="强调文字颜色 2 5" xfId="1757"/>
    <cellStyle name="强调文字颜色 2 5 2" xfId="1758"/>
    <cellStyle name="强调文字颜色 2 6" xfId="1759"/>
    <cellStyle name="强调文字颜色 2 6 2" xfId="1760"/>
    <cellStyle name="强调文字颜色 2 7" xfId="1761"/>
    <cellStyle name="强调文字颜色 2 7 2" xfId="1762"/>
    <cellStyle name="强调文字颜色 3 2" xfId="1763"/>
    <cellStyle name="强调文字颜色 3 2 2" xfId="1764"/>
    <cellStyle name="强调文字颜色 3 2 2 2" xfId="1765"/>
    <cellStyle name="强调文字颜色 3 2 3" xfId="1766"/>
    <cellStyle name="强调文字颜色 3 3" xfId="1767"/>
    <cellStyle name="强调文字颜色 3 3 2" xfId="1768"/>
    <cellStyle name="强调文字颜色 3 3 2 2" xfId="1769"/>
    <cellStyle name="强调文字颜色 3 3 3" xfId="1770"/>
    <cellStyle name="强调文字颜色 3 4" xfId="1771"/>
    <cellStyle name="强调文字颜色 3 4 2" xfId="1772"/>
    <cellStyle name="强调文字颜色 3 4 2 2" xfId="1773"/>
    <cellStyle name="强调文字颜色 3 4 3" xfId="1774"/>
    <cellStyle name="强调文字颜色 3 5" xfId="1775"/>
    <cellStyle name="强调文字颜色 3 5 2" xfId="1776"/>
    <cellStyle name="强调文字颜色 3 6" xfId="1777"/>
    <cellStyle name="强调文字颜色 3 6 2" xfId="1778"/>
    <cellStyle name="强调文字颜色 3 7" xfId="1779"/>
    <cellStyle name="强调文字颜色 3 7 2" xfId="1780"/>
    <cellStyle name="强调文字颜色 4 2" xfId="1781"/>
    <cellStyle name="强调文字颜色 4 2 2" xfId="1782"/>
    <cellStyle name="强调文字颜色 4 2 2 2" xfId="1783"/>
    <cellStyle name="强调文字颜色 4 2 3" xfId="1784"/>
    <cellStyle name="强调文字颜色 4 3" xfId="1785"/>
    <cellStyle name="强调文字颜色 4 3 2" xfId="1786"/>
    <cellStyle name="强调文字颜色 4 3 2 2" xfId="1787"/>
    <cellStyle name="强调文字颜色 4 3 3" xfId="1788"/>
    <cellStyle name="强调文字颜色 4 4" xfId="1789"/>
    <cellStyle name="强调文字颜色 4 4 2" xfId="1790"/>
    <cellStyle name="强调文字颜色 4 4 2 2" xfId="1791"/>
    <cellStyle name="强调文字颜色 4 4 3" xfId="1792"/>
    <cellStyle name="强调文字颜色 4 5" xfId="1793"/>
    <cellStyle name="强调文字颜色 4 5 2" xfId="1794"/>
    <cellStyle name="强调文字颜色 4 6" xfId="1795"/>
    <cellStyle name="强调文字颜色 4 6 2" xfId="1796"/>
    <cellStyle name="强调文字颜色 4 7" xfId="1797"/>
    <cellStyle name="强调文字颜色 4 7 2" xfId="1798"/>
    <cellStyle name="强调文字颜色 5 2" xfId="1799"/>
    <cellStyle name="强调文字颜色 5 2 2" xfId="1800"/>
    <cellStyle name="强调文字颜色 5 2 2 2" xfId="1801"/>
    <cellStyle name="强调文字颜色 5 2 3" xfId="1802"/>
    <cellStyle name="强调文字颜色 5 3" xfId="1803"/>
    <cellStyle name="强调文字颜色 5 3 2" xfId="1804"/>
    <cellStyle name="强调文字颜色 5 3 2 2" xfId="1805"/>
    <cellStyle name="强调文字颜色 5 3 3" xfId="1806"/>
    <cellStyle name="强调文字颜色 5 4" xfId="1807"/>
    <cellStyle name="强调文字颜色 5 4 2" xfId="1808"/>
    <cellStyle name="强调文字颜色 5 4 2 2" xfId="1809"/>
    <cellStyle name="强调文字颜色 5 4 3" xfId="1810"/>
    <cellStyle name="强调文字颜色 5 5" xfId="1811"/>
    <cellStyle name="强调文字颜色 5 5 2" xfId="1812"/>
    <cellStyle name="强调文字颜色 5 6" xfId="1813"/>
    <cellStyle name="强调文字颜色 5 6 2" xfId="1814"/>
    <cellStyle name="强调文字颜色 5 7" xfId="1815"/>
    <cellStyle name="强调文字颜色 5 7 2" xfId="1816"/>
    <cellStyle name="强调文字颜色 6 2" xfId="1817"/>
    <cellStyle name="强调文字颜色 6 2 2" xfId="1818"/>
    <cellStyle name="强调文字颜色 6 2 2 2" xfId="1819"/>
    <cellStyle name="强调文字颜色 6 2 3" xfId="1820"/>
    <cellStyle name="强调文字颜色 6 3" xfId="1821"/>
    <cellStyle name="强调文字颜色 6 3 2" xfId="1822"/>
    <cellStyle name="强调文字颜色 6 3 2 2" xfId="1823"/>
    <cellStyle name="强调文字颜色 6 3 3" xfId="1824"/>
    <cellStyle name="强调文字颜色 6 4" xfId="1825"/>
    <cellStyle name="强调文字颜色 6 4 2" xfId="1826"/>
    <cellStyle name="强调文字颜色 6 4 2 2" xfId="1827"/>
    <cellStyle name="强调文字颜色 6 4 3" xfId="1828"/>
    <cellStyle name="强调文字颜色 6 5" xfId="1829"/>
    <cellStyle name="强调文字颜色 6 5 2" xfId="1830"/>
    <cellStyle name="强调文字颜色 6 6" xfId="1831"/>
    <cellStyle name="强调文字颜色 6 6 2" xfId="1832"/>
    <cellStyle name="强调文字颜色 6 7" xfId="1833"/>
    <cellStyle name="强调文字颜色 6 7 2" xfId="1834"/>
    <cellStyle name="适中 2" xfId="1835"/>
    <cellStyle name="适中 2 2" xfId="1836"/>
    <cellStyle name="适中 2 2 2" xfId="1837"/>
    <cellStyle name="适中 2 3" xfId="1838"/>
    <cellStyle name="适中 3" xfId="1839"/>
    <cellStyle name="适中 3 2" xfId="1840"/>
    <cellStyle name="适中 3 2 2" xfId="1841"/>
    <cellStyle name="适中 3 3" xfId="1842"/>
    <cellStyle name="适中 4" xfId="1843"/>
    <cellStyle name="适中 4 2" xfId="1844"/>
    <cellStyle name="适中 4 2 2" xfId="1845"/>
    <cellStyle name="适中 4 3" xfId="1846"/>
    <cellStyle name="适中 5" xfId="1847"/>
    <cellStyle name="适中 5 2" xfId="1848"/>
    <cellStyle name="适中 6" xfId="1849"/>
    <cellStyle name="适中 6 2" xfId="1850"/>
    <cellStyle name="适中 7" xfId="1851"/>
    <cellStyle name="适中 7 2" xfId="1852"/>
    <cellStyle name="输出 2" xfId="1853"/>
    <cellStyle name="输出 2 2" xfId="1854"/>
    <cellStyle name="输出 2 2 2" xfId="1855"/>
    <cellStyle name="输出 2 3" xfId="1856"/>
    <cellStyle name="输出 3" xfId="1857"/>
    <cellStyle name="输出 3 2" xfId="1858"/>
    <cellStyle name="输出 3 2 2" xfId="1859"/>
    <cellStyle name="输出 3 3" xfId="1860"/>
    <cellStyle name="输出 4" xfId="1861"/>
    <cellStyle name="输出 4 2" xfId="1862"/>
    <cellStyle name="输出 4 2 2" xfId="1863"/>
    <cellStyle name="输出 4 3" xfId="1864"/>
    <cellStyle name="输出 5" xfId="1865"/>
    <cellStyle name="输出 5 2" xfId="1866"/>
    <cellStyle name="输出 6" xfId="1867"/>
    <cellStyle name="输出 6 2" xfId="1868"/>
    <cellStyle name="输出 7" xfId="1869"/>
    <cellStyle name="输出 7 2" xfId="1870"/>
    <cellStyle name="输入 2" xfId="1871"/>
    <cellStyle name="输入 2 2" xfId="1872"/>
    <cellStyle name="输入 2 2 2" xfId="1873"/>
    <cellStyle name="输入 2 3" xfId="1874"/>
    <cellStyle name="输入 3" xfId="1875"/>
    <cellStyle name="输入 3 2" xfId="1876"/>
    <cellStyle name="输入 3 2 2" xfId="1877"/>
    <cellStyle name="输入 3 3" xfId="1878"/>
    <cellStyle name="输入 4" xfId="1879"/>
    <cellStyle name="输入 4 2" xfId="1880"/>
    <cellStyle name="输入 4 2 2" xfId="1881"/>
    <cellStyle name="输入 4 3" xfId="1882"/>
    <cellStyle name="输入 5" xfId="1883"/>
    <cellStyle name="输入 5 2" xfId="1884"/>
    <cellStyle name="输入 6" xfId="1885"/>
    <cellStyle name="输入 6 2" xfId="1886"/>
    <cellStyle name="输入 7" xfId="1887"/>
    <cellStyle name="输入 7 2" xfId="1888"/>
    <cellStyle name="说明文本" xfId="1889"/>
    <cellStyle name="说明文本 2" xfId="1890"/>
    <cellStyle name="说明文本 2 2" xfId="1891"/>
    <cellStyle name="说明文本 2 2 2" xfId="1892"/>
    <cellStyle name="说明文本 2 3" xfId="1893"/>
    <cellStyle name="说明文本 3" xfId="1894"/>
    <cellStyle name="说明文本 3 2" xfId="1895"/>
    <cellStyle name="说明文本 4" xfId="1896"/>
    <cellStyle name="说明文本 4 2" xfId="1897"/>
    <cellStyle name="说明文本 5" xfId="1898"/>
    <cellStyle name="无色" xfId="1899"/>
    <cellStyle name="无色 2" xfId="1900"/>
    <cellStyle name="无色 2 2" xfId="1901"/>
    <cellStyle name="无色 2 2 2" xfId="1902"/>
    <cellStyle name="无色 2 3" xfId="1903"/>
    <cellStyle name="无色 3" xfId="1904"/>
    <cellStyle name="无色 3 2" xfId="1905"/>
    <cellStyle name="无色 4" xfId="1906"/>
    <cellStyle name="无色 4 2" xfId="1907"/>
    <cellStyle name="无色 5" xfId="1908"/>
    <cellStyle name="样式 1" xfId="1909"/>
    <cellStyle name="着色 1 2" xfId="1910"/>
    <cellStyle name="着色 1 2 2" xfId="1911"/>
    <cellStyle name="着色 1 2 2 2" xfId="1912"/>
    <cellStyle name="着色 1 2 3" xfId="1913"/>
    <cellStyle name="着色 1 3" xfId="1914"/>
    <cellStyle name="着色 1 3 2" xfId="1915"/>
    <cellStyle name="着色 1 4" xfId="1916"/>
    <cellStyle name="着色 1 4 2" xfId="1917"/>
    <cellStyle name="着色 1 5" xfId="1918"/>
    <cellStyle name="着色 2 2" xfId="1919"/>
    <cellStyle name="着色 2 2 2" xfId="1920"/>
    <cellStyle name="着色 2 2 2 2" xfId="1921"/>
    <cellStyle name="着色 2 2 3" xfId="1922"/>
    <cellStyle name="着色 2 3" xfId="1923"/>
    <cellStyle name="着色 2 3 2" xfId="1924"/>
    <cellStyle name="着色 2 4" xfId="1925"/>
    <cellStyle name="着色 2 4 2" xfId="1926"/>
    <cellStyle name="着色 2 5" xfId="1927"/>
    <cellStyle name="着色 3 2" xfId="1928"/>
    <cellStyle name="着色 3 2 2" xfId="1929"/>
    <cellStyle name="着色 3 2 2 2" xfId="1930"/>
    <cellStyle name="着色 3 2 3" xfId="1931"/>
    <cellStyle name="着色 3 3" xfId="1932"/>
    <cellStyle name="着色 3 3 2" xfId="1933"/>
    <cellStyle name="着色 3 4" xfId="1934"/>
    <cellStyle name="着色 3 4 2" xfId="1935"/>
    <cellStyle name="着色 3 5" xfId="1936"/>
    <cellStyle name="着色 4 2" xfId="1937"/>
    <cellStyle name="着色 4 2 2" xfId="1938"/>
    <cellStyle name="着色 4 2 2 2" xfId="1939"/>
    <cellStyle name="着色 4 2 3" xfId="1940"/>
    <cellStyle name="着色 4 3" xfId="1941"/>
    <cellStyle name="着色 4 3 2" xfId="1942"/>
    <cellStyle name="着色 4 4" xfId="1943"/>
    <cellStyle name="着色 4 4 2" xfId="1944"/>
    <cellStyle name="着色 4 5" xfId="1945"/>
    <cellStyle name="着色 5 2" xfId="1946"/>
    <cellStyle name="着色 5 2 2" xfId="1947"/>
    <cellStyle name="着色 5 2 2 2" xfId="1948"/>
    <cellStyle name="着色 5 2 3" xfId="1949"/>
    <cellStyle name="着色 5 3" xfId="1950"/>
    <cellStyle name="着色 5 3 2" xfId="1951"/>
    <cellStyle name="着色 5 4" xfId="1952"/>
    <cellStyle name="着色 5 4 2" xfId="1953"/>
    <cellStyle name="着色 5 5" xfId="1954"/>
    <cellStyle name="着色 6 2" xfId="1955"/>
    <cellStyle name="着色 6 2 2" xfId="1956"/>
    <cellStyle name="着色 6 2 2 2" xfId="1957"/>
    <cellStyle name="着色 6 2 3" xfId="1958"/>
    <cellStyle name="着色 6 3" xfId="1959"/>
    <cellStyle name="着色 6 3 2" xfId="1960"/>
    <cellStyle name="着色 6 4" xfId="1961"/>
    <cellStyle name="着色 6 4 2" xfId="1962"/>
    <cellStyle name="着色 6 5" xfId="1963"/>
    <cellStyle name="注释 2" xfId="1964"/>
    <cellStyle name="注释 2 2" xfId="1965"/>
    <cellStyle name="注释 2 2 2" xfId="1966"/>
    <cellStyle name="注释 2 2 2 2" xfId="1967"/>
    <cellStyle name="注释 2 2 3" xfId="1968"/>
    <cellStyle name="注释 2 3" xfId="1969"/>
    <cellStyle name="注释 2 3 2" xfId="1970"/>
    <cellStyle name="注释 2 4" xfId="1971"/>
    <cellStyle name="注释 3" xfId="1972"/>
    <cellStyle name="注释 3 2" xfId="1973"/>
    <cellStyle name="注释 3 2 2" xfId="1974"/>
    <cellStyle name="注释 3 2 2 2" xfId="1975"/>
    <cellStyle name="注释 3 2 3" xfId="1976"/>
    <cellStyle name="注释 3 3" xfId="1977"/>
    <cellStyle name="注释 3 3 2" xfId="1978"/>
    <cellStyle name="注释 3 4" xfId="1979"/>
    <cellStyle name="注释 4" xfId="1980"/>
    <cellStyle name="注释 4 2" xfId="1981"/>
    <cellStyle name="注释 4 2 2" xfId="1982"/>
    <cellStyle name="注释 4 2 2 2" xfId="1983"/>
    <cellStyle name="注释 4 2 3" xfId="1984"/>
    <cellStyle name="注释 4 3" xfId="1985"/>
    <cellStyle name="注释 4 3 2" xfId="1986"/>
    <cellStyle name="注释 4 4" xfId="1987"/>
    <cellStyle name="注释 5" xfId="1988"/>
    <cellStyle name="注释 5 2" xfId="1989"/>
    <cellStyle name="注释 5 2 2" xfId="1990"/>
    <cellStyle name="注释 5 3" xfId="1991"/>
    <cellStyle name="注释 6" xfId="1992"/>
    <cellStyle name="注释 6 2" xfId="1993"/>
    <cellStyle name="注释 6 2 2" xfId="1994"/>
    <cellStyle name="注释 6 3" xfId="1995"/>
    <cellStyle name="注释 7" xfId="1996"/>
    <cellStyle name="注释 7 2" xfId="1997"/>
    <cellStyle name="注释 7 2 2" xfId="1998"/>
    <cellStyle name="注释 7 3" xfId="19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56</xdr:row>
      <xdr:rowOff>19050</xdr:rowOff>
    </xdr:from>
    <xdr:to>
      <xdr:col>7</xdr:col>
      <xdr:colOff>723900</xdr:colOff>
      <xdr:row>56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91650" y="9582150"/>
          <a:ext cx="466725" cy="47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067;&#26725;&#38215;2024&#24180;&#38215;&#32423;&#32479;&#31609;&#19968;&#27425;&#20998;&#37197;&#21021;&#312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4\2024&#24180;&#22522;&#26412;&#25903;&#20986;&#39044;&#31639;\2024&#24180;&#39044;&#31639;(&#39067;&#2672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颛桥镇"/>
      <sheetName val="颛桥"/>
      <sheetName val="残疾就业保障"/>
      <sheetName val="抚恤金"/>
      <sheetName val="补充公用经费"/>
      <sheetName val="公办义务教育减免书薄费"/>
      <sheetName val="公办义务教育资助"/>
      <sheetName val="公办义务教育营养午餐"/>
      <sheetName val="公办学前资助"/>
      <sheetName val="社区教育"/>
      <sheetName val="社区教育志愿者联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绩效测算"/>
      <sheetName val="民办小区生补贴"/>
      <sheetName val="民办小区生补贴（街道）"/>
      <sheetName val="民办学校生均经费"/>
      <sheetName val="民办学校生均经费（街道）"/>
      <sheetName val="民办高中学费"/>
      <sheetName val="民办高中学费（街道）"/>
      <sheetName val="2024年基本支出预算表"/>
      <sheetName val="生均公用定额标准"/>
      <sheetName val="其他定额标准"/>
      <sheetName val="Sheet1"/>
      <sheetName val="审核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N18">
            <v>5155260</v>
          </cell>
        </row>
        <row r="32">
          <cell r="K32">
            <v>572000</v>
          </cell>
          <cell r="L32">
            <v>28314</v>
          </cell>
        </row>
        <row r="33">
          <cell r="K33">
            <v>715000</v>
          </cell>
          <cell r="L33">
            <v>19734</v>
          </cell>
        </row>
        <row r="34">
          <cell r="K34">
            <v>572000</v>
          </cell>
          <cell r="L34">
            <v>13728</v>
          </cell>
        </row>
        <row r="43">
          <cell r="K43">
            <v>858000</v>
          </cell>
          <cell r="L43">
            <v>35321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C19" sqref="C19"/>
    </sheetView>
  </sheetViews>
  <sheetFormatPr defaultColWidth="9" defaultRowHeight="13.5"/>
  <cols>
    <col min="1" max="1" width="10.625" style="82" customWidth="1"/>
    <col min="2" max="2" width="30.625" style="182" customWidth="1"/>
    <col min="3" max="3" width="30.625" style="82" customWidth="1"/>
    <col min="4" max="4" width="20.5" style="82" bestFit="1" customWidth="1"/>
    <col min="5" max="5" width="18.625" style="82" hidden="1" customWidth="1"/>
    <col min="6" max="6" width="18.375" style="82" bestFit="1" customWidth="1"/>
    <col min="7" max="7" width="14.375" style="82" hidden="1" customWidth="1"/>
    <col min="8" max="8" width="14.25" style="82" hidden="1" customWidth="1"/>
    <col min="9" max="252" width="9" style="82"/>
    <col min="253" max="253" width="6.625" style="82" customWidth="1"/>
    <col min="254" max="255" width="21.625" style="82" customWidth="1"/>
    <col min="256" max="256" width="16.125" style="82" bestFit="1" customWidth="1"/>
    <col min="257" max="257" width="13.875" style="82" bestFit="1" customWidth="1"/>
    <col min="258" max="258" width="17.25" style="82" bestFit="1" customWidth="1"/>
    <col min="259" max="260" width="20.5" style="82" bestFit="1" customWidth="1"/>
    <col min="261" max="261" width="0" style="82" hidden="1" customWidth="1"/>
    <col min="262" max="262" width="18.375" style="82" bestFit="1" customWidth="1"/>
    <col min="263" max="264" width="0" style="82" hidden="1" customWidth="1"/>
    <col min="265" max="508" width="9" style="82"/>
    <col min="509" max="509" width="6.625" style="82" customWidth="1"/>
    <col min="510" max="511" width="21.625" style="82" customWidth="1"/>
    <col min="512" max="512" width="16.125" style="82" bestFit="1" customWidth="1"/>
    <col min="513" max="513" width="13.875" style="82" bestFit="1" customWidth="1"/>
    <col min="514" max="514" width="17.25" style="82" bestFit="1" customWidth="1"/>
    <col min="515" max="516" width="20.5" style="82" bestFit="1" customWidth="1"/>
    <col min="517" max="517" width="0" style="82" hidden="1" customWidth="1"/>
    <col min="518" max="518" width="18.375" style="82" bestFit="1" customWidth="1"/>
    <col min="519" max="520" width="0" style="82" hidden="1" customWidth="1"/>
    <col min="521" max="764" width="9" style="82"/>
    <col min="765" max="765" width="6.625" style="82" customWidth="1"/>
    <col min="766" max="767" width="21.625" style="82" customWidth="1"/>
    <col min="768" max="768" width="16.125" style="82" bestFit="1" customWidth="1"/>
    <col min="769" max="769" width="13.875" style="82" bestFit="1" customWidth="1"/>
    <col min="770" max="770" width="17.25" style="82" bestFit="1" customWidth="1"/>
    <col min="771" max="772" width="20.5" style="82" bestFit="1" customWidth="1"/>
    <col min="773" max="773" width="0" style="82" hidden="1" customWidth="1"/>
    <col min="774" max="774" width="18.375" style="82" bestFit="1" customWidth="1"/>
    <col min="775" max="776" width="0" style="82" hidden="1" customWidth="1"/>
    <col min="777" max="1020" width="9" style="82"/>
    <col min="1021" max="1021" width="6.625" style="82" customWidth="1"/>
    <col min="1022" max="1023" width="21.625" style="82" customWidth="1"/>
    <col min="1024" max="1024" width="16.125" style="82" bestFit="1" customWidth="1"/>
    <col min="1025" max="1025" width="13.875" style="82" bestFit="1" customWidth="1"/>
    <col min="1026" max="1026" width="17.25" style="82" bestFit="1" customWidth="1"/>
    <col min="1027" max="1028" width="20.5" style="82" bestFit="1" customWidth="1"/>
    <col min="1029" max="1029" width="0" style="82" hidden="1" customWidth="1"/>
    <col min="1030" max="1030" width="18.375" style="82" bestFit="1" customWidth="1"/>
    <col min="1031" max="1032" width="0" style="82" hidden="1" customWidth="1"/>
    <col min="1033" max="1276" width="9" style="82"/>
    <col min="1277" max="1277" width="6.625" style="82" customWidth="1"/>
    <col min="1278" max="1279" width="21.625" style="82" customWidth="1"/>
    <col min="1280" max="1280" width="16.125" style="82" bestFit="1" customWidth="1"/>
    <col min="1281" max="1281" width="13.875" style="82" bestFit="1" customWidth="1"/>
    <col min="1282" max="1282" width="17.25" style="82" bestFit="1" customWidth="1"/>
    <col min="1283" max="1284" width="20.5" style="82" bestFit="1" customWidth="1"/>
    <col min="1285" max="1285" width="0" style="82" hidden="1" customWidth="1"/>
    <col min="1286" max="1286" width="18.375" style="82" bestFit="1" customWidth="1"/>
    <col min="1287" max="1288" width="0" style="82" hidden="1" customWidth="1"/>
    <col min="1289" max="1532" width="9" style="82"/>
    <col min="1533" max="1533" width="6.625" style="82" customWidth="1"/>
    <col min="1534" max="1535" width="21.625" style="82" customWidth="1"/>
    <col min="1536" max="1536" width="16.125" style="82" bestFit="1" customWidth="1"/>
    <col min="1537" max="1537" width="13.875" style="82" bestFit="1" customWidth="1"/>
    <col min="1538" max="1538" width="17.25" style="82" bestFit="1" customWidth="1"/>
    <col min="1539" max="1540" width="20.5" style="82" bestFit="1" customWidth="1"/>
    <col min="1541" max="1541" width="0" style="82" hidden="1" customWidth="1"/>
    <col min="1542" max="1542" width="18.375" style="82" bestFit="1" customWidth="1"/>
    <col min="1543" max="1544" width="0" style="82" hidden="1" customWidth="1"/>
    <col min="1545" max="1788" width="9" style="82"/>
    <col min="1789" max="1789" width="6.625" style="82" customWidth="1"/>
    <col min="1790" max="1791" width="21.625" style="82" customWidth="1"/>
    <col min="1792" max="1792" width="16.125" style="82" bestFit="1" customWidth="1"/>
    <col min="1793" max="1793" width="13.875" style="82" bestFit="1" customWidth="1"/>
    <col min="1794" max="1794" width="17.25" style="82" bestFit="1" customWidth="1"/>
    <col min="1795" max="1796" width="20.5" style="82" bestFit="1" customWidth="1"/>
    <col min="1797" max="1797" width="0" style="82" hidden="1" customWidth="1"/>
    <col min="1798" max="1798" width="18.375" style="82" bestFit="1" customWidth="1"/>
    <col min="1799" max="1800" width="0" style="82" hidden="1" customWidth="1"/>
    <col min="1801" max="2044" width="9" style="82"/>
    <col min="2045" max="2045" width="6.625" style="82" customWidth="1"/>
    <col min="2046" max="2047" width="21.625" style="82" customWidth="1"/>
    <col min="2048" max="2048" width="16.125" style="82" bestFit="1" customWidth="1"/>
    <col min="2049" max="2049" width="13.875" style="82" bestFit="1" customWidth="1"/>
    <col min="2050" max="2050" width="17.25" style="82" bestFit="1" customWidth="1"/>
    <col min="2051" max="2052" width="20.5" style="82" bestFit="1" customWidth="1"/>
    <col min="2053" max="2053" width="0" style="82" hidden="1" customWidth="1"/>
    <col min="2054" max="2054" width="18.375" style="82" bestFit="1" customWidth="1"/>
    <col min="2055" max="2056" width="0" style="82" hidden="1" customWidth="1"/>
    <col min="2057" max="2300" width="9" style="82"/>
    <col min="2301" max="2301" width="6.625" style="82" customWidth="1"/>
    <col min="2302" max="2303" width="21.625" style="82" customWidth="1"/>
    <col min="2304" max="2304" width="16.125" style="82" bestFit="1" customWidth="1"/>
    <col min="2305" max="2305" width="13.875" style="82" bestFit="1" customWidth="1"/>
    <col min="2306" max="2306" width="17.25" style="82" bestFit="1" customWidth="1"/>
    <col min="2307" max="2308" width="20.5" style="82" bestFit="1" customWidth="1"/>
    <col min="2309" max="2309" width="0" style="82" hidden="1" customWidth="1"/>
    <col min="2310" max="2310" width="18.375" style="82" bestFit="1" customWidth="1"/>
    <col min="2311" max="2312" width="0" style="82" hidden="1" customWidth="1"/>
    <col min="2313" max="2556" width="9" style="82"/>
    <col min="2557" max="2557" width="6.625" style="82" customWidth="1"/>
    <col min="2558" max="2559" width="21.625" style="82" customWidth="1"/>
    <col min="2560" max="2560" width="16.125" style="82" bestFit="1" customWidth="1"/>
    <col min="2561" max="2561" width="13.875" style="82" bestFit="1" customWidth="1"/>
    <col min="2562" max="2562" width="17.25" style="82" bestFit="1" customWidth="1"/>
    <col min="2563" max="2564" width="20.5" style="82" bestFit="1" customWidth="1"/>
    <col min="2565" max="2565" width="0" style="82" hidden="1" customWidth="1"/>
    <col min="2566" max="2566" width="18.375" style="82" bestFit="1" customWidth="1"/>
    <col min="2567" max="2568" width="0" style="82" hidden="1" customWidth="1"/>
    <col min="2569" max="2812" width="9" style="82"/>
    <col min="2813" max="2813" width="6.625" style="82" customWidth="1"/>
    <col min="2814" max="2815" width="21.625" style="82" customWidth="1"/>
    <col min="2816" max="2816" width="16.125" style="82" bestFit="1" customWidth="1"/>
    <col min="2817" max="2817" width="13.875" style="82" bestFit="1" customWidth="1"/>
    <col min="2818" max="2818" width="17.25" style="82" bestFit="1" customWidth="1"/>
    <col min="2819" max="2820" width="20.5" style="82" bestFit="1" customWidth="1"/>
    <col min="2821" max="2821" width="0" style="82" hidden="1" customWidth="1"/>
    <col min="2822" max="2822" width="18.375" style="82" bestFit="1" customWidth="1"/>
    <col min="2823" max="2824" width="0" style="82" hidden="1" customWidth="1"/>
    <col min="2825" max="3068" width="9" style="82"/>
    <col min="3069" max="3069" width="6.625" style="82" customWidth="1"/>
    <col min="3070" max="3071" width="21.625" style="82" customWidth="1"/>
    <col min="3072" max="3072" width="16.125" style="82" bestFit="1" customWidth="1"/>
    <col min="3073" max="3073" width="13.875" style="82" bestFit="1" customWidth="1"/>
    <col min="3074" max="3074" width="17.25" style="82" bestFit="1" customWidth="1"/>
    <col min="3075" max="3076" width="20.5" style="82" bestFit="1" customWidth="1"/>
    <col min="3077" max="3077" width="0" style="82" hidden="1" customWidth="1"/>
    <col min="3078" max="3078" width="18.375" style="82" bestFit="1" customWidth="1"/>
    <col min="3079" max="3080" width="0" style="82" hidden="1" customWidth="1"/>
    <col min="3081" max="3324" width="9" style="82"/>
    <col min="3325" max="3325" width="6.625" style="82" customWidth="1"/>
    <col min="3326" max="3327" width="21.625" style="82" customWidth="1"/>
    <col min="3328" max="3328" width="16.125" style="82" bestFit="1" customWidth="1"/>
    <col min="3329" max="3329" width="13.875" style="82" bestFit="1" customWidth="1"/>
    <col min="3330" max="3330" width="17.25" style="82" bestFit="1" customWidth="1"/>
    <col min="3331" max="3332" width="20.5" style="82" bestFit="1" customWidth="1"/>
    <col min="3333" max="3333" width="0" style="82" hidden="1" customWidth="1"/>
    <col min="3334" max="3334" width="18.375" style="82" bestFit="1" customWidth="1"/>
    <col min="3335" max="3336" width="0" style="82" hidden="1" customWidth="1"/>
    <col min="3337" max="3580" width="9" style="82"/>
    <col min="3581" max="3581" width="6.625" style="82" customWidth="1"/>
    <col min="3582" max="3583" width="21.625" style="82" customWidth="1"/>
    <col min="3584" max="3584" width="16.125" style="82" bestFit="1" customWidth="1"/>
    <col min="3585" max="3585" width="13.875" style="82" bestFit="1" customWidth="1"/>
    <col min="3586" max="3586" width="17.25" style="82" bestFit="1" customWidth="1"/>
    <col min="3587" max="3588" width="20.5" style="82" bestFit="1" customWidth="1"/>
    <col min="3589" max="3589" width="0" style="82" hidden="1" customWidth="1"/>
    <col min="3590" max="3590" width="18.375" style="82" bestFit="1" customWidth="1"/>
    <col min="3591" max="3592" width="0" style="82" hidden="1" customWidth="1"/>
    <col min="3593" max="3836" width="9" style="82"/>
    <col min="3837" max="3837" width="6.625" style="82" customWidth="1"/>
    <col min="3838" max="3839" width="21.625" style="82" customWidth="1"/>
    <col min="3840" max="3840" width="16.125" style="82" bestFit="1" customWidth="1"/>
    <col min="3841" max="3841" width="13.875" style="82" bestFit="1" customWidth="1"/>
    <col min="3842" max="3842" width="17.25" style="82" bestFit="1" customWidth="1"/>
    <col min="3843" max="3844" width="20.5" style="82" bestFit="1" customWidth="1"/>
    <col min="3845" max="3845" width="0" style="82" hidden="1" customWidth="1"/>
    <col min="3846" max="3846" width="18.375" style="82" bestFit="1" customWidth="1"/>
    <col min="3847" max="3848" width="0" style="82" hidden="1" customWidth="1"/>
    <col min="3849" max="4092" width="9" style="82"/>
    <col min="4093" max="4093" width="6.625" style="82" customWidth="1"/>
    <col min="4094" max="4095" width="21.625" style="82" customWidth="1"/>
    <col min="4096" max="4096" width="16.125" style="82" bestFit="1" customWidth="1"/>
    <col min="4097" max="4097" width="13.875" style="82" bestFit="1" customWidth="1"/>
    <col min="4098" max="4098" width="17.25" style="82" bestFit="1" customWidth="1"/>
    <col min="4099" max="4100" width="20.5" style="82" bestFit="1" customWidth="1"/>
    <col min="4101" max="4101" width="0" style="82" hidden="1" customWidth="1"/>
    <col min="4102" max="4102" width="18.375" style="82" bestFit="1" customWidth="1"/>
    <col min="4103" max="4104" width="0" style="82" hidden="1" customWidth="1"/>
    <col min="4105" max="4348" width="9" style="82"/>
    <col min="4349" max="4349" width="6.625" style="82" customWidth="1"/>
    <col min="4350" max="4351" width="21.625" style="82" customWidth="1"/>
    <col min="4352" max="4352" width="16.125" style="82" bestFit="1" customWidth="1"/>
    <col min="4353" max="4353" width="13.875" style="82" bestFit="1" customWidth="1"/>
    <col min="4354" max="4354" width="17.25" style="82" bestFit="1" customWidth="1"/>
    <col min="4355" max="4356" width="20.5" style="82" bestFit="1" customWidth="1"/>
    <col min="4357" max="4357" width="0" style="82" hidden="1" customWidth="1"/>
    <col min="4358" max="4358" width="18.375" style="82" bestFit="1" customWidth="1"/>
    <col min="4359" max="4360" width="0" style="82" hidden="1" customWidth="1"/>
    <col min="4361" max="4604" width="9" style="82"/>
    <col min="4605" max="4605" width="6.625" style="82" customWidth="1"/>
    <col min="4606" max="4607" width="21.625" style="82" customWidth="1"/>
    <col min="4608" max="4608" width="16.125" style="82" bestFit="1" customWidth="1"/>
    <col min="4609" max="4609" width="13.875" style="82" bestFit="1" customWidth="1"/>
    <col min="4610" max="4610" width="17.25" style="82" bestFit="1" customWidth="1"/>
    <col min="4611" max="4612" width="20.5" style="82" bestFit="1" customWidth="1"/>
    <col min="4613" max="4613" width="0" style="82" hidden="1" customWidth="1"/>
    <col min="4614" max="4614" width="18.375" style="82" bestFit="1" customWidth="1"/>
    <col min="4615" max="4616" width="0" style="82" hidden="1" customWidth="1"/>
    <col min="4617" max="4860" width="9" style="82"/>
    <col min="4861" max="4861" width="6.625" style="82" customWidth="1"/>
    <col min="4862" max="4863" width="21.625" style="82" customWidth="1"/>
    <col min="4864" max="4864" width="16.125" style="82" bestFit="1" customWidth="1"/>
    <col min="4865" max="4865" width="13.875" style="82" bestFit="1" customWidth="1"/>
    <col min="4866" max="4866" width="17.25" style="82" bestFit="1" customWidth="1"/>
    <col min="4867" max="4868" width="20.5" style="82" bestFit="1" customWidth="1"/>
    <col min="4869" max="4869" width="0" style="82" hidden="1" customWidth="1"/>
    <col min="4870" max="4870" width="18.375" style="82" bestFit="1" customWidth="1"/>
    <col min="4871" max="4872" width="0" style="82" hidden="1" customWidth="1"/>
    <col min="4873" max="5116" width="9" style="82"/>
    <col min="5117" max="5117" width="6.625" style="82" customWidth="1"/>
    <col min="5118" max="5119" width="21.625" style="82" customWidth="1"/>
    <col min="5120" max="5120" width="16.125" style="82" bestFit="1" customWidth="1"/>
    <col min="5121" max="5121" width="13.875" style="82" bestFit="1" customWidth="1"/>
    <col min="5122" max="5122" width="17.25" style="82" bestFit="1" customWidth="1"/>
    <col min="5123" max="5124" width="20.5" style="82" bestFit="1" customWidth="1"/>
    <col min="5125" max="5125" width="0" style="82" hidden="1" customWidth="1"/>
    <col min="5126" max="5126" width="18.375" style="82" bestFit="1" customWidth="1"/>
    <col min="5127" max="5128" width="0" style="82" hidden="1" customWidth="1"/>
    <col min="5129" max="5372" width="9" style="82"/>
    <col min="5373" max="5373" width="6.625" style="82" customWidth="1"/>
    <col min="5374" max="5375" width="21.625" style="82" customWidth="1"/>
    <col min="5376" max="5376" width="16.125" style="82" bestFit="1" customWidth="1"/>
    <col min="5377" max="5377" width="13.875" style="82" bestFit="1" customWidth="1"/>
    <col min="5378" max="5378" width="17.25" style="82" bestFit="1" customWidth="1"/>
    <col min="5379" max="5380" width="20.5" style="82" bestFit="1" customWidth="1"/>
    <col min="5381" max="5381" width="0" style="82" hidden="1" customWidth="1"/>
    <col min="5382" max="5382" width="18.375" style="82" bestFit="1" customWidth="1"/>
    <col min="5383" max="5384" width="0" style="82" hidden="1" customWidth="1"/>
    <col min="5385" max="5628" width="9" style="82"/>
    <col min="5629" max="5629" width="6.625" style="82" customWidth="1"/>
    <col min="5630" max="5631" width="21.625" style="82" customWidth="1"/>
    <col min="5632" max="5632" width="16.125" style="82" bestFit="1" customWidth="1"/>
    <col min="5633" max="5633" width="13.875" style="82" bestFit="1" customWidth="1"/>
    <col min="5634" max="5634" width="17.25" style="82" bestFit="1" customWidth="1"/>
    <col min="5635" max="5636" width="20.5" style="82" bestFit="1" customWidth="1"/>
    <col min="5637" max="5637" width="0" style="82" hidden="1" customWidth="1"/>
    <col min="5638" max="5638" width="18.375" style="82" bestFit="1" customWidth="1"/>
    <col min="5639" max="5640" width="0" style="82" hidden="1" customWidth="1"/>
    <col min="5641" max="5884" width="9" style="82"/>
    <col min="5885" max="5885" width="6.625" style="82" customWidth="1"/>
    <col min="5886" max="5887" width="21.625" style="82" customWidth="1"/>
    <col min="5888" max="5888" width="16.125" style="82" bestFit="1" customWidth="1"/>
    <col min="5889" max="5889" width="13.875" style="82" bestFit="1" customWidth="1"/>
    <col min="5890" max="5890" width="17.25" style="82" bestFit="1" customWidth="1"/>
    <col min="5891" max="5892" width="20.5" style="82" bestFit="1" customWidth="1"/>
    <col min="5893" max="5893" width="0" style="82" hidden="1" customWidth="1"/>
    <col min="5894" max="5894" width="18.375" style="82" bestFit="1" customWidth="1"/>
    <col min="5895" max="5896" width="0" style="82" hidden="1" customWidth="1"/>
    <col min="5897" max="6140" width="9" style="82"/>
    <col min="6141" max="6141" width="6.625" style="82" customWidth="1"/>
    <col min="6142" max="6143" width="21.625" style="82" customWidth="1"/>
    <col min="6144" max="6144" width="16.125" style="82" bestFit="1" customWidth="1"/>
    <col min="6145" max="6145" width="13.875" style="82" bestFit="1" customWidth="1"/>
    <col min="6146" max="6146" width="17.25" style="82" bestFit="1" customWidth="1"/>
    <col min="6147" max="6148" width="20.5" style="82" bestFit="1" customWidth="1"/>
    <col min="6149" max="6149" width="0" style="82" hidden="1" customWidth="1"/>
    <col min="6150" max="6150" width="18.375" style="82" bestFit="1" customWidth="1"/>
    <col min="6151" max="6152" width="0" style="82" hidden="1" customWidth="1"/>
    <col min="6153" max="6396" width="9" style="82"/>
    <col min="6397" max="6397" width="6.625" style="82" customWidth="1"/>
    <col min="6398" max="6399" width="21.625" style="82" customWidth="1"/>
    <col min="6400" max="6400" width="16.125" style="82" bestFit="1" customWidth="1"/>
    <col min="6401" max="6401" width="13.875" style="82" bestFit="1" customWidth="1"/>
    <col min="6402" max="6402" width="17.25" style="82" bestFit="1" customWidth="1"/>
    <col min="6403" max="6404" width="20.5" style="82" bestFit="1" customWidth="1"/>
    <col min="6405" max="6405" width="0" style="82" hidden="1" customWidth="1"/>
    <col min="6406" max="6406" width="18.375" style="82" bestFit="1" customWidth="1"/>
    <col min="6407" max="6408" width="0" style="82" hidden="1" customWidth="1"/>
    <col min="6409" max="6652" width="9" style="82"/>
    <col min="6653" max="6653" width="6.625" style="82" customWidth="1"/>
    <col min="6654" max="6655" width="21.625" style="82" customWidth="1"/>
    <col min="6656" max="6656" width="16.125" style="82" bestFit="1" customWidth="1"/>
    <col min="6657" max="6657" width="13.875" style="82" bestFit="1" customWidth="1"/>
    <col min="6658" max="6658" width="17.25" style="82" bestFit="1" customWidth="1"/>
    <col min="6659" max="6660" width="20.5" style="82" bestFit="1" customWidth="1"/>
    <col min="6661" max="6661" width="0" style="82" hidden="1" customWidth="1"/>
    <col min="6662" max="6662" width="18.375" style="82" bestFit="1" customWidth="1"/>
    <col min="6663" max="6664" width="0" style="82" hidden="1" customWidth="1"/>
    <col min="6665" max="6908" width="9" style="82"/>
    <col min="6909" max="6909" width="6.625" style="82" customWidth="1"/>
    <col min="6910" max="6911" width="21.625" style="82" customWidth="1"/>
    <col min="6912" max="6912" width="16.125" style="82" bestFit="1" customWidth="1"/>
    <col min="6913" max="6913" width="13.875" style="82" bestFit="1" customWidth="1"/>
    <col min="6914" max="6914" width="17.25" style="82" bestFit="1" customWidth="1"/>
    <col min="6915" max="6916" width="20.5" style="82" bestFit="1" customWidth="1"/>
    <col min="6917" max="6917" width="0" style="82" hidden="1" customWidth="1"/>
    <col min="6918" max="6918" width="18.375" style="82" bestFit="1" customWidth="1"/>
    <col min="6919" max="6920" width="0" style="82" hidden="1" customWidth="1"/>
    <col min="6921" max="7164" width="9" style="82"/>
    <col min="7165" max="7165" width="6.625" style="82" customWidth="1"/>
    <col min="7166" max="7167" width="21.625" style="82" customWidth="1"/>
    <col min="7168" max="7168" width="16.125" style="82" bestFit="1" customWidth="1"/>
    <col min="7169" max="7169" width="13.875" style="82" bestFit="1" customWidth="1"/>
    <col min="7170" max="7170" width="17.25" style="82" bestFit="1" customWidth="1"/>
    <col min="7171" max="7172" width="20.5" style="82" bestFit="1" customWidth="1"/>
    <col min="7173" max="7173" width="0" style="82" hidden="1" customWidth="1"/>
    <col min="7174" max="7174" width="18.375" style="82" bestFit="1" customWidth="1"/>
    <col min="7175" max="7176" width="0" style="82" hidden="1" customWidth="1"/>
    <col min="7177" max="7420" width="9" style="82"/>
    <col min="7421" max="7421" width="6.625" style="82" customWidth="1"/>
    <col min="7422" max="7423" width="21.625" style="82" customWidth="1"/>
    <col min="7424" max="7424" width="16.125" style="82" bestFit="1" customWidth="1"/>
    <col min="7425" max="7425" width="13.875" style="82" bestFit="1" customWidth="1"/>
    <col min="7426" max="7426" width="17.25" style="82" bestFit="1" customWidth="1"/>
    <col min="7427" max="7428" width="20.5" style="82" bestFit="1" customWidth="1"/>
    <col min="7429" max="7429" width="0" style="82" hidden="1" customWidth="1"/>
    <col min="7430" max="7430" width="18.375" style="82" bestFit="1" customWidth="1"/>
    <col min="7431" max="7432" width="0" style="82" hidden="1" customWidth="1"/>
    <col min="7433" max="7676" width="9" style="82"/>
    <col min="7677" max="7677" width="6.625" style="82" customWidth="1"/>
    <col min="7678" max="7679" width="21.625" style="82" customWidth="1"/>
    <col min="7680" max="7680" width="16.125" style="82" bestFit="1" customWidth="1"/>
    <col min="7681" max="7681" width="13.875" style="82" bestFit="1" customWidth="1"/>
    <col min="7682" max="7682" width="17.25" style="82" bestFit="1" customWidth="1"/>
    <col min="7683" max="7684" width="20.5" style="82" bestFit="1" customWidth="1"/>
    <col min="7685" max="7685" width="0" style="82" hidden="1" customWidth="1"/>
    <col min="7686" max="7686" width="18.375" style="82" bestFit="1" customWidth="1"/>
    <col min="7687" max="7688" width="0" style="82" hidden="1" customWidth="1"/>
    <col min="7689" max="7932" width="9" style="82"/>
    <col min="7933" max="7933" width="6.625" style="82" customWidth="1"/>
    <col min="7934" max="7935" width="21.625" style="82" customWidth="1"/>
    <col min="7936" max="7936" width="16.125" style="82" bestFit="1" customWidth="1"/>
    <col min="7937" max="7937" width="13.875" style="82" bestFit="1" customWidth="1"/>
    <col min="7938" max="7938" width="17.25" style="82" bestFit="1" customWidth="1"/>
    <col min="7939" max="7940" width="20.5" style="82" bestFit="1" customWidth="1"/>
    <col min="7941" max="7941" width="0" style="82" hidden="1" customWidth="1"/>
    <col min="7942" max="7942" width="18.375" style="82" bestFit="1" customWidth="1"/>
    <col min="7943" max="7944" width="0" style="82" hidden="1" customWidth="1"/>
    <col min="7945" max="8188" width="9" style="82"/>
    <col min="8189" max="8189" width="6.625" style="82" customWidth="1"/>
    <col min="8190" max="8191" width="21.625" style="82" customWidth="1"/>
    <col min="8192" max="8192" width="16.125" style="82" bestFit="1" customWidth="1"/>
    <col min="8193" max="8193" width="13.875" style="82" bestFit="1" customWidth="1"/>
    <col min="8194" max="8194" width="17.25" style="82" bestFit="1" customWidth="1"/>
    <col min="8195" max="8196" width="20.5" style="82" bestFit="1" customWidth="1"/>
    <col min="8197" max="8197" width="0" style="82" hidden="1" customWidth="1"/>
    <col min="8198" max="8198" width="18.375" style="82" bestFit="1" customWidth="1"/>
    <col min="8199" max="8200" width="0" style="82" hidden="1" customWidth="1"/>
    <col min="8201" max="8444" width="9" style="82"/>
    <col min="8445" max="8445" width="6.625" style="82" customWidth="1"/>
    <col min="8446" max="8447" width="21.625" style="82" customWidth="1"/>
    <col min="8448" max="8448" width="16.125" style="82" bestFit="1" customWidth="1"/>
    <col min="8449" max="8449" width="13.875" style="82" bestFit="1" customWidth="1"/>
    <col min="8450" max="8450" width="17.25" style="82" bestFit="1" customWidth="1"/>
    <col min="8451" max="8452" width="20.5" style="82" bestFit="1" customWidth="1"/>
    <col min="8453" max="8453" width="0" style="82" hidden="1" customWidth="1"/>
    <col min="8454" max="8454" width="18.375" style="82" bestFit="1" customWidth="1"/>
    <col min="8455" max="8456" width="0" style="82" hidden="1" customWidth="1"/>
    <col min="8457" max="8700" width="9" style="82"/>
    <col min="8701" max="8701" width="6.625" style="82" customWidth="1"/>
    <col min="8702" max="8703" width="21.625" style="82" customWidth="1"/>
    <col min="8704" max="8704" width="16.125" style="82" bestFit="1" customWidth="1"/>
    <col min="8705" max="8705" width="13.875" style="82" bestFit="1" customWidth="1"/>
    <col min="8706" max="8706" width="17.25" style="82" bestFit="1" customWidth="1"/>
    <col min="8707" max="8708" width="20.5" style="82" bestFit="1" customWidth="1"/>
    <col min="8709" max="8709" width="0" style="82" hidden="1" customWidth="1"/>
    <col min="8710" max="8710" width="18.375" style="82" bestFit="1" customWidth="1"/>
    <col min="8711" max="8712" width="0" style="82" hidden="1" customWidth="1"/>
    <col min="8713" max="8956" width="9" style="82"/>
    <col min="8957" max="8957" width="6.625" style="82" customWidth="1"/>
    <col min="8958" max="8959" width="21.625" style="82" customWidth="1"/>
    <col min="8960" max="8960" width="16.125" style="82" bestFit="1" customWidth="1"/>
    <col min="8961" max="8961" width="13.875" style="82" bestFit="1" customWidth="1"/>
    <col min="8962" max="8962" width="17.25" style="82" bestFit="1" customWidth="1"/>
    <col min="8963" max="8964" width="20.5" style="82" bestFit="1" customWidth="1"/>
    <col min="8965" max="8965" width="0" style="82" hidden="1" customWidth="1"/>
    <col min="8966" max="8966" width="18.375" style="82" bestFit="1" customWidth="1"/>
    <col min="8967" max="8968" width="0" style="82" hidden="1" customWidth="1"/>
    <col min="8969" max="9212" width="9" style="82"/>
    <col min="9213" max="9213" width="6.625" style="82" customWidth="1"/>
    <col min="9214" max="9215" width="21.625" style="82" customWidth="1"/>
    <col min="9216" max="9216" width="16.125" style="82" bestFit="1" customWidth="1"/>
    <col min="9217" max="9217" width="13.875" style="82" bestFit="1" customWidth="1"/>
    <col min="9218" max="9218" width="17.25" style="82" bestFit="1" customWidth="1"/>
    <col min="9219" max="9220" width="20.5" style="82" bestFit="1" customWidth="1"/>
    <col min="9221" max="9221" width="0" style="82" hidden="1" customWidth="1"/>
    <col min="9222" max="9222" width="18.375" style="82" bestFit="1" customWidth="1"/>
    <col min="9223" max="9224" width="0" style="82" hidden="1" customWidth="1"/>
    <col min="9225" max="9468" width="9" style="82"/>
    <col min="9469" max="9469" width="6.625" style="82" customWidth="1"/>
    <col min="9470" max="9471" width="21.625" style="82" customWidth="1"/>
    <col min="9472" max="9472" width="16.125" style="82" bestFit="1" customWidth="1"/>
    <col min="9473" max="9473" width="13.875" style="82" bestFit="1" customWidth="1"/>
    <col min="9474" max="9474" width="17.25" style="82" bestFit="1" customWidth="1"/>
    <col min="9475" max="9476" width="20.5" style="82" bestFit="1" customWidth="1"/>
    <col min="9477" max="9477" width="0" style="82" hidden="1" customWidth="1"/>
    <col min="9478" max="9478" width="18.375" style="82" bestFit="1" customWidth="1"/>
    <col min="9479" max="9480" width="0" style="82" hidden="1" customWidth="1"/>
    <col min="9481" max="9724" width="9" style="82"/>
    <col min="9725" max="9725" width="6.625" style="82" customWidth="1"/>
    <col min="9726" max="9727" width="21.625" style="82" customWidth="1"/>
    <col min="9728" max="9728" width="16.125" style="82" bestFit="1" customWidth="1"/>
    <col min="9729" max="9729" width="13.875" style="82" bestFit="1" customWidth="1"/>
    <col min="9730" max="9730" width="17.25" style="82" bestFit="1" customWidth="1"/>
    <col min="9731" max="9732" width="20.5" style="82" bestFit="1" customWidth="1"/>
    <col min="9733" max="9733" width="0" style="82" hidden="1" customWidth="1"/>
    <col min="9734" max="9734" width="18.375" style="82" bestFit="1" customWidth="1"/>
    <col min="9735" max="9736" width="0" style="82" hidden="1" customWidth="1"/>
    <col min="9737" max="9980" width="9" style="82"/>
    <col min="9981" max="9981" width="6.625" style="82" customWidth="1"/>
    <col min="9982" max="9983" width="21.625" style="82" customWidth="1"/>
    <col min="9984" max="9984" width="16.125" style="82" bestFit="1" customWidth="1"/>
    <col min="9985" max="9985" width="13.875" style="82" bestFit="1" customWidth="1"/>
    <col min="9986" max="9986" width="17.25" style="82" bestFit="1" customWidth="1"/>
    <col min="9987" max="9988" width="20.5" style="82" bestFit="1" customWidth="1"/>
    <col min="9989" max="9989" width="0" style="82" hidden="1" customWidth="1"/>
    <col min="9990" max="9990" width="18.375" style="82" bestFit="1" customWidth="1"/>
    <col min="9991" max="9992" width="0" style="82" hidden="1" customWidth="1"/>
    <col min="9993" max="10236" width="9" style="82"/>
    <col min="10237" max="10237" width="6.625" style="82" customWidth="1"/>
    <col min="10238" max="10239" width="21.625" style="82" customWidth="1"/>
    <col min="10240" max="10240" width="16.125" style="82" bestFit="1" customWidth="1"/>
    <col min="10241" max="10241" width="13.875" style="82" bestFit="1" customWidth="1"/>
    <col min="10242" max="10242" width="17.25" style="82" bestFit="1" customWidth="1"/>
    <col min="10243" max="10244" width="20.5" style="82" bestFit="1" customWidth="1"/>
    <col min="10245" max="10245" width="0" style="82" hidden="1" customWidth="1"/>
    <col min="10246" max="10246" width="18.375" style="82" bestFit="1" customWidth="1"/>
    <col min="10247" max="10248" width="0" style="82" hidden="1" customWidth="1"/>
    <col min="10249" max="10492" width="9" style="82"/>
    <col min="10493" max="10493" width="6.625" style="82" customWidth="1"/>
    <col min="10494" max="10495" width="21.625" style="82" customWidth="1"/>
    <col min="10496" max="10496" width="16.125" style="82" bestFit="1" customWidth="1"/>
    <col min="10497" max="10497" width="13.875" style="82" bestFit="1" customWidth="1"/>
    <col min="10498" max="10498" width="17.25" style="82" bestFit="1" customWidth="1"/>
    <col min="10499" max="10500" width="20.5" style="82" bestFit="1" customWidth="1"/>
    <col min="10501" max="10501" width="0" style="82" hidden="1" customWidth="1"/>
    <col min="10502" max="10502" width="18.375" style="82" bestFit="1" customWidth="1"/>
    <col min="10503" max="10504" width="0" style="82" hidden="1" customWidth="1"/>
    <col min="10505" max="10748" width="9" style="82"/>
    <col min="10749" max="10749" width="6.625" style="82" customWidth="1"/>
    <col min="10750" max="10751" width="21.625" style="82" customWidth="1"/>
    <col min="10752" max="10752" width="16.125" style="82" bestFit="1" customWidth="1"/>
    <col min="10753" max="10753" width="13.875" style="82" bestFit="1" customWidth="1"/>
    <col min="10754" max="10754" width="17.25" style="82" bestFit="1" customWidth="1"/>
    <col min="10755" max="10756" width="20.5" style="82" bestFit="1" customWidth="1"/>
    <col min="10757" max="10757" width="0" style="82" hidden="1" customWidth="1"/>
    <col min="10758" max="10758" width="18.375" style="82" bestFit="1" customWidth="1"/>
    <col min="10759" max="10760" width="0" style="82" hidden="1" customWidth="1"/>
    <col min="10761" max="11004" width="9" style="82"/>
    <col min="11005" max="11005" width="6.625" style="82" customWidth="1"/>
    <col min="11006" max="11007" width="21.625" style="82" customWidth="1"/>
    <col min="11008" max="11008" width="16.125" style="82" bestFit="1" customWidth="1"/>
    <col min="11009" max="11009" width="13.875" style="82" bestFit="1" customWidth="1"/>
    <col min="11010" max="11010" width="17.25" style="82" bestFit="1" customWidth="1"/>
    <col min="11011" max="11012" width="20.5" style="82" bestFit="1" customWidth="1"/>
    <col min="11013" max="11013" width="0" style="82" hidden="1" customWidth="1"/>
    <col min="11014" max="11014" width="18.375" style="82" bestFit="1" customWidth="1"/>
    <col min="11015" max="11016" width="0" style="82" hidden="1" customWidth="1"/>
    <col min="11017" max="11260" width="9" style="82"/>
    <col min="11261" max="11261" width="6.625" style="82" customWidth="1"/>
    <col min="11262" max="11263" width="21.625" style="82" customWidth="1"/>
    <col min="11264" max="11264" width="16.125" style="82" bestFit="1" customWidth="1"/>
    <col min="11265" max="11265" width="13.875" style="82" bestFit="1" customWidth="1"/>
    <col min="11266" max="11266" width="17.25" style="82" bestFit="1" customWidth="1"/>
    <col min="11267" max="11268" width="20.5" style="82" bestFit="1" customWidth="1"/>
    <col min="11269" max="11269" width="0" style="82" hidden="1" customWidth="1"/>
    <col min="11270" max="11270" width="18.375" style="82" bestFit="1" customWidth="1"/>
    <col min="11271" max="11272" width="0" style="82" hidden="1" customWidth="1"/>
    <col min="11273" max="11516" width="9" style="82"/>
    <col min="11517" max="11517" width="6.625" style="82" customWidth="1"/>
    <col min="11518" max="11519" width="21.625" style="82" customWidth="1"/>
    <col min="11520" max="11520" width="16.125" style="82" bestFit="1" customWidth="1"/>
    <col min="11521" max="11521" width="13.875" style="82" bestFit="1" customWidth="1"/>
    <col min="11522" max="11522" width="17.25" style="82" bestFit="1" customWidth="1"/>
    <col min="11523" max="11524" width="20.5" style="82" bestFit="1" customWidth="1"/>
    <col min="11525" max="11525" width="0" style="82" hidden="1" customWidth="1"/>
    <col min="11526" max="11526" width="18.375" style="82" bestFit="1" customWidth="1"/>
    <col min="11527" max="11528" width="0" style="82" hidden="1" customWidth="1"/>
    <col min="11529" max="11772" width="9" style="82"/>
    <col min="11773" max="11773" width="6.625" style="82" customWidth="1"/>
    <col min="11774" max="11775" width="21.625" style="82" customWidth="1"/>
    <col min="11776" max="11776" width="16.125" style="82" bestFit="1" customWidth="1"/>
    <col min="11777" max="11777" width="13.875" style="82" bestFit="1" customWidth="1"/>
    <col min="11778" max="11778" width="17.25" style="82" bestFit="1" customWidth="1"/>
    <col min="11779" max="11780" width="20.5" style="82" bestFit="1" customWidth="1"/>
    <col min="11781" max="11781" width="0" style="82" hidden="1" customWidth="1"/>
    <col min="11782" max="11782" width="18.375" style="82" bestFit="1" customWidth="1"/>
    <col min="11783" max="11784" width="0" style="82" hidden="1" customWidth="1"/>
    <col min="11785" max="12028" width="9" style="82"/>
    <col min="12029" max="12029" width="6.625" style="82" customWidth="1"/>
    <col min="12030" max="12031" width="21.625" style="82" customWidth="1"/>
    <col min="12032" max="12032" width="16.125" style="82" bestFit="1" customWidth="1"/>
    <col min="12033" max="12033" width="13.875" style="82" bestFit="1" customWidth="1"/>
    <col min="12034" max="12034" width="17.25" style="82" bestFit="1" customWidth="1"/>
    <col min="12035" max="12036" width="20.5" style="82" bestFit="1" customWidth="1"/>
    <col min="12037" max="12037" width="0" style="82" hidden="1" customWidth="1"/>
    <col min="12038" max="12038" width="18.375" style="82" bestFit="1" customWidth="1"/>
    <col min="12039" max="12040" width="0" style="82" hidden="1" customWidth="1"/>
    <col min="12041" max="12284" width="9" style="82"/>
    <col min="12285" max="12285" width="6.625" style="82" customWidth="1"/>
    <col min="12286" max="12287" width="21.625" style="82" customWidth="1"/>
    <col min="12288" max="12288" width="16.125" style="82" bestFit="1" customWidth="1"/>
    <col min="12289" max="12289" width="13.875" style="82" bestFit="1" customWidth="1"/>
    <col min="12290" max="12290" width="17.25" style="82" bestFit="1" customWidth="1"/>
    <col min="12291" max="12292" width="20.5" style="82" bestFit="1" customWidth="1"/>
    <col min="12293" max="12293" width="0" style="82" hidden="1" customWidth="1"/>
    <col min="12294" max="12294" width="18.375" style="82" bestFit="1" customWidth="1"/>
    <col min="12295" max="12296" width="0" style="82" hidden="1" customWidth="1"/>
    <col min="12297" max="12540" width="9" style="82"/>
    <col min="12541" max="12541" width="6.625" style="82" customWidth="1"/>
    <col min="12542" max="12543" width="21.625" style="82" customWidth="1"/>
    <col min="12544" max="12544" width="16.125" style="82" bestFit="1" customWidth="1"/>
    <col min="12545" max="12545" width="13.875" style="82" bestFit="1" customWidth="1"/>
    <col min="12546" max="12546" width="17.25" style="82" bestFit="1" customWidth="1"/>
    <col min="12547" max="12548" width="20.5" style="82" bestFit="1" customWidth="1"/>
    <col min="12549" max="12549" width="0" style="82" hidden="1" customWidth="1"/>
    <col min="12550" max="12550" width="18.375" style="82" bestFit="1" customWidth="1"/>
    <col min="12551" max="12552" width="0" style="82" hidden="1" customWidth="1"/>
    <col min="12553" max="12796" width="9" style="82"/>
    <col min="12797" max="12797" width="6.625" style="82" customWidth="1"/>
    <col min="12798" max="12799" width="21.625" style="82" customWidth="1"/>
    <col min="12800" max="12800" width="16.125" style="82" bestFit="1" customWidth="1"/>
    <col min="12801" max="12801" width="13.875" style="82" bestFit="1" customWidth="1"/>
    <col min="12802" max="12802" width="17.25" style="82" bestFit="1" customWidth="1"/>
    <col min="12803" max="12804" width="20.5" style="82" bestFit="1" customWidth="1"/>
    <col min="12805" max="12805" width="0" style="82" hidden="1" customWidth="1"/>
    <col min="12806" max="12806" width="18.375" style="82" bestFit="1" customWidth="1"/>
    <col min="12807" max="12808" width="0" style="82" hidden="1" customWidth="1"/>
    <col min="12809" max="13052" width="9" style="82"/>
    <col min="13053" max="13053" width="6.625" style="82" customWidth="1"/>
    <col min="13054" max="13055" width="21.625" style="82" customWidth="1"/>
    <col min="13056" max="13056" width="16.125" style="82" bestFit="1" customWidth="1"/>
    <col min="13057" max="13057" width="13.875" style="82" bestFit="1" customWidth="1"/>
    <col min="13058" max="13058" width="17.25" style="82" bestFit="1" customWidth="1"/>
    <col min="13059" max="13060" width="20.5" style="82" bestFit="1" customWidth="1"/>
    <col min="13061" max="13061" width="0" style="82" hidden="1" customWidth="1"/>
    <col min="13062" max="13062" width="18.375" style="82" bestFit="1" customWidth="1"/>
    <col min="13063" max="13064" width="0" style="82" hidden="1" customWidth="1"/>
    <col min="13065" max="13308" width="9" style="82"/>
    <col min="13309" max="13309" width="6.625" style="82" customWidth="1"/>
    <col min="13310" max="13311" width="21.625" style="82" customWidth="1"/>
    <col min="13312" max="13312" width="16.125" style="82" bestFit="1" customWidth="1"/>
    <col min="13313" max="13313" width="13.875" style="82" bestFit="1" customWidth="1"/>
    <col min="13314" max="13314" width="17.25" style="82" bestFit="1" customWidth="1"/>
    <col min="13315" max="13316" width="20.5" style="82" bestFit="1" customWidth="1"/>
    <col min="13317" max="13317" width="0" style="82" hidden="1" customWidth="1"/>
    <col min="13318" max="13318" width="18.375" style="82" bestFit="1" customWidth="1"/>
    <col min="13319" max="13320" width="0" style="82" hidden="1" customWidth="1"/>
    <col min="13321" max="13564" width="9" style="82"/>
    <col min="13565" max="13565" width="6.625" style="82" customWidth="1"/>
    <col min="13566" max="13567" width="21.625" style="82" customWidth="1"/>
    <col min="13568" max="13568" width="16.125" style="82" bestFit="1" customWidth="1"/>
    <col min="13569" max="13569" width="13.875" style="82" bestFit="1" customWidth="1"/>
    <col min="13570" max="13570" width="17.25" style="82" bestFit="1" customWidth="1"/>
    <col min="13571" max="13572" width="20.5" style="82" bestFit="1" customWidth="1"/>
    <col min="13573" max="13573" width="0" style="82" hidden="1" customWidth="1"/>
    <col min="13574" max="13574" width="18.375" style="82" bestFit="1" customWidth="1"/>
    <col min="13575" max="13576" width="0" style="82" hidden="1" customWidth="1"/>
    <col min="13577" max="13820" width="9" style="82"/>
    <col min="13821" max="13821" width="6.625" style="82" customWidth="1"/>
    <col min="13822" max="13823" width="21.625" style="82" customWidth="1"/>
    <col min="13824" max="13824" width="16.125" style="82" bestFit="1" customWidth="1"/>
    <col min="13825" max="13825" width="13.875" style="82" bestFit="1" customWidth="1"/>
    <col min="13826" max="13826" width="17.25" style="82" bestFit="1" customWidth="1"/>
    <col min="13827" max="13828" width="20.5" style="82" bestFit="1" customWidth="1"/>
    <col min="13829" max="13829" width="0" style="82" hidden="1" customWidth="1"/>
    <col min="13830" max="13830" width="18.375" style="82" bestFit="1" customWidth="1"/>
    <col min="13831" max="13832" width="0" style="82" hidden="1" customWidth="1"/>
    <col min="13833" max="14076" width="9" style="82"/>
    <col min="14077" max="14077" width="6.625" style="82" customWidth="1"/>
    <col min="14078" max="14079" width="21.625" style="82" customWidth="1"/>
    <col min="14080" max="14080" width="16.125" style="82" bestFit="1" customWidth="1"/>
    <col min="14081" max="14081" width="13.875" style="82" bestFit="1" customWidth="1"/>
    <col min="14082" max="14082" width="17.25" style="82" bestFit="1" customWidth="1"/>
    <col min="14083" max="14084" width="20.5" style="82" bestFit="1" customWidth="1"/>
    <col min="14085" max="14085" width="0" style="82" hidden="1" customWidth="1"/>
    <col min="14086" max="14086" width="18.375" style="82" bestFit="1" customWidth="1"/>
    <col min="14087" max="14088" width="0" style="82" hidden="1" customWidth="1"/>
    <col min="14089" max="14332" width="9" style="82"/>
    <col min="14333" max="14333" width="6.625" style="82" customWidth="1"/>
    <col min="14334" max="14335" width="21.625" style="82" customWidth="1"/>
    <col min="14336" max="14336" width="16.125" style="82" bestFit="1" customWidth="1"/>
    <col min="14337" max="14337" width="13.875" style="82" bestFit="1" customWidth="1"/>
    <col min="14338" max="14338" width="17.25" style="82" bestFit="1" customWidth="1"/>
    <col min="14339" max="14340" width="20.5" style="82" bestFit="1" customWidth="1"/>
    <col min="14341" max="14341" width="0" style="82" hidden="1" customWidth="1"/>
    <col min="14342" max="14342" width="18.375" style="82" bestFit="1" customWidth="1"/>
    <col min="14343" max="14344" width="0" style="82" hidden="1" customWidth="1"/>
    <col min="14345" max="14588" width="9" style="82"/>
    <col min="14589" max="14589" width="6.625" style="82" customWidth="1"/>
    <col min="14590" max="14591" width="21.625" style="82" customWidth="1"/>
    <col min="14592" max="14592" width="16.125" style="82" bestFit="1" customWidth="1"/>
    <col min="14593" max="14593" width="13.875" style="82" bestFit="1" customWidth="1"/>
    <col min="14594" max="14594" width="17.25" style="82" bestFit="1" customWidth="1"/>
    <col min="14595" max="14596" width="20.5" style="82" bestFit="1" customWidth="1"/>
    <col min="14597" max="14597" width="0" style="82" hidden="1" customWidth="1"/>
    <col min="14598" max="14598" width="18.375" style="82" bestFit="1" customWidth="1"/>
    <col min="14599" max="14600" width="0" style="82" hidden="1" customWidth="1"/>
    <col min="14601" max="14844" width="9" style="82"/>
    <col min="14845" max="14845" width="6.625" style="82" customWidth="1"/>
    <col min="14846" max="14847" width="21.625" style="82" customWidth="1"/>
    <col min="14848" max="14848" width="16.125" style="82" bestFit="1" customWidth="1"/>
    <col min="14849" max="14849" width="13.875" style="82" bestFit="1" customWidth="1"/>
    <col min="14850" max="14850" width="17.25" style="82" bestFit="1" customWidth="1"/>
    <col min="14851" max="14852" width="20.5" style="82" bestFit="1" customWidth="1"/>
    <col min="14853" max="14853" width="0" style="82" hidden="1" customWidth="1"/>
    <col min="14854" max="14854" width="18.375" style="82" bestFit="1" customWidth="1"/>
    <col min="14855" max="14856" width="0" style="82" hidden="1" customWidth="1"/>
    <col min="14857" max="15100" width="9" style="82"/>
    <col min="15101" max="15101" width="6.625" style="82" customWidth="1"/>
    <col min="15102" max="15103" width="21.625" style="82" customWidth="1"/>
    <col min="15104" max="15104" width="16.125" style="82" bestFit="1" customWidth="1"/>
    <col min="15105" max="15105" width="13.875" style="82" bestFit="1" customWidth="1"/>
    <col min="15106" max="15106" width="17.25" style="82" bestFit="1" customWidth="1"/>
    <col min="15107" max="15108" width="20.5" style="82" bestFit="1" customWidth="1"/>
    <col min="15109" max="15109" width="0" style="82" hidden="1" customWidth="1"/>
    <col min="15110" max="15110" width="18.375" style="82" bestFit="1" customWidth="1"/>
    <col min="15111" max="15112" width="0" style="82" hidden="1" customWidth="1"/>
    <col min="15113" max="15356" width="9" style="82"/>
    <col min="15357" max="15357" width="6.625" style="82" customWidth="1"/>
    <col min="15358" max="15359" width="21.625" style="82" customWidth="1"/>
    <col min="15360" max="15360" width="16.125" style="82" bestFit="1" customWidth="1"/>
    <col min="15361" max="15361" width="13.875" style="82" bestFit="1" customWidth="1"/>
    <col min="15362" max="15362" width="17.25" style="82" bestFit="1" customWidth="1"/>
    <col min="15363" max="15364" width="20.5" style="82" bestFit="1" customWidth="1"/>
    <col min="15365" max="15365" width="0" style="82" hidden="1" customWidth="1"/>
    <col min="15366" max="15366" width="18.375" style="82" bestFit="1" customWidth="1"/>
    <col min="15367" max="15368" width="0" style="82" hidden="1" customWidth="1"/>
    <col min="15369" max="15612" width="9" style="82"/>
    <col min="15613" max="15613" width="6.625" style="82" customWidth="1"/>
    <col min="15614" max="15615" width="21.625" style="82" customWidth="1"/>
    <col min="15616" max="15616" width="16.125" style="82" bestFit="1" customWidth="1"/>
    <col min="15617" max="15617" width="13.875" style="82" bestFit="1" customWidth="1"/>
    <col min="15618" max="15618" width="17.25" style="82" bestFit="1" customWidth="1"/>
    <col min="15619" max="15620" width="20.5" style="82" bestFit="1" customWidth="1"/>
    <col min="15621" max="15621" width="0" style="82" hidden="1" customWidth="1"/>
    <col min="15622" max="15622" width="18.375" style="82" bestFit="1" customWidth="1"/>
    <col min="15623" max="15624" width="0" style="82" hidden="1" customWidth="1"/>
    <col min="15625" max="15868" width="9" style="82"/>
    <col min="15869" max="15869" width="6.625" style="82" customWidth="1"/>
    <col min="15870" max="15871" width="21.625" style="82" customWidth="1"/>
    <col min="15872" max="15872" width="16.125" style="82" bestFit="1" customWidth="1"/>
    <col min="15873" max="15873" width="13.875" style="82" bestFit="1" customWidth="1"/>
    <col min="15874" max="15874" width="17.25" style="82" bestFit="1" customWidth="1"/>
    <col min="15875" max="15876" width="20.5" style="82" bestFit="1" customWidth="1"/>
    <col min="15877" max="15877" width="0" style="82" hidden="1" customWidth="1"/>
    <col min="15878" max="15878" width="18.375" style="82" bestFit="1" customWidth="1"/>
    <col min="15879" max="15880" width="0" style="82" hidden="1" customWidth="1"/>
    <col min="15881" max="16124" width="9" style="82"/>
    <col min="16125" max="16125" width="6.625" style="82" customWidth="1"/>
    <col min="16126" max="16127" width="21.625" style="82" customWidth="1"/>
    <col min="16128" max="16128" width="16.125" style="82" bestFit="1" customWidth="1"/>
    <col min="16129" max="16129" width="13.875" style="82" bestFit="1" customWidth="1"/>
    <col min="16130" max="16130" width="17.25" style="82" bestFit="1" customWidth="1"/>
    <col min="16131" max="16132" width="20.5" style="82" bestFit="1" customWidth="1"/>
    <col min="16133" max="16133" width="0" style="82" hidden="1" customWidth="1"/>
    <col min="16134" max="16134" width="18.375" style="82" bestFit="1" customWidth="1"/>
    <col min="16135" max="16136" width="0" style="82" hidden="1" customWidth="1"/>
    <col min="16137" max="16384" width="9" style="82"/>
  </cols>
  <sheetData>
    <row r="1" spans="1:3" ht="20.25">
      <c r="A1" s="183" t="s">
        <v>467</v>
      </c>
      <c r="B1" s="184"/>
      <c r="C1" s="184"/>
    </row>
    <row r="2" spans="1:3" ht="35.1" customHeight="1">
      <c r="A2" s="185" t="s">
        <v>468</v>
      </c>
      <c r="B2" s="186"/>
      <c r="C2" s="176" t="s">
        <v>469</v>
      </c>
    </row>
    <row r="3" spans="1:3" ht="30" customHeight="1">
      <c r="A3" s="177" t="s">
        <v>470</v>
      </c>
      <c r="B3" s="177" t="s">
        <v>471</v>
      </c>
      <c r="C3" s="178" t="s">
        <v>213</v>
      </c>
    </row>
    <row r="4" spans="1:3" ht="30" customHeight="1">
      <c r="A4" s="177">
        <v>1</v>
      </c>
      <c r="B4" s="177" t="s">
        <v>472</v>
      </c>
      <c r="C4" s="179">
        <f>颛桥基本支出!T4+'2023年绩效清算'!Q19</f>
        <v>374507184.96000004</v>
      </c>
    </row>
    <row r="5" spans="1:3" ht="30" customHeight="1">
      <c r="A5" s="177">
        <v>2</v>
      </c>
      <c r="B5" s="177" t="s">
        <v>473</v>
      </c>
      <c r="C5" s="179">
        <f>颛桥基本支出!T38</f>
        <v>64224315.029999994</v>
      </c>
    </row>
    <row r="6" spans="1:3" ht="30" customHeight="1">
      <c r="A6" s="177">
        <v>3</v>
      </c>
      <c r="B6" s="177" t="s">
        <v>474</v>
      </c>
      <c r="C6" s="179">
        <f>颛桥基本支出!T31</f>
        <v>6348440</v>
      </c>
    </row>
    <row r="7" spans="1:3" ht="30" customHeight="1">
      <c r="A7" s="177">
        <v>4</v>
      </c>
      <c r="B7" s="177" t="s">
        <v>475</v>
      </c>
      <c r="C7" s="179">
        <f>社区教育!C3</f>
        <v>648114</v>
      </c>
    </row>
    <row r="8" spans="1:3" ht="30" customHeight="1">
      <c r="A8" s="177">
        <v>5</v>
      </c>
      <c r="B8" s="177" t="s">
        <v>476</v>
      </c>
      <c r="C8" s="179">
        <f>[1]社区教育志愿者联盟!C4</f>
        <v>40000</v>
      </c>
    </row>
    <row r="9" spans="1:3" ht="30" customHeight="1">
      <c r="A9" s="177">
        <v>6</v>
      </c>
      <c r="B9" s="177" t="s">
        <v>445</v>
      </c>
      <c r="C9" s="179">
        <f>残疾就业保障!D18</f>
        <v>3168054.47</v>
      </c>
    </row>
    <row r="10" spans="1:3" ht="30" customHeight="1">
      <c r="A10" s="177">
        <v>7</v>
      </c>
      <c r="B10" s="177" t="s">
        <v>446</v>
      </c>
      <c r="C10" s="179">
        <f>抚恤金!D5</f>
        <v>451898</v>
      </c>
    </row>
    <row r="11" spans="1:3" ht="30" customHeight="1">
      <c r="A11" s="177">
        <v>8</v>
      </c>
      <c r="B11" s="177" t="s">
        <v>477</v>
      </c>
      <c r="C11" s="179">
        <f>补充公用经费!AO18+清算补充公用经费!I11</f>
        <v>31844797.5</v>
      </c>
    </row>
    <row r="12" spans="1:3" ht="30" customHeight="1">
      <c r="A12" s="177">
        <v>9</v>
      </c>
      <c r="B12" s="180" t="s">
        <v>478</v>
      </c>
      <c r="C12" s="179">
        <f>公办义务教育减免书薄费!I11</f>
        <v>4243720</v>
      </c>
    </row>
    <row r="13" spans="1:3" ht="30" customHeight="1">
      <c r="A13" s="177">
        <v>10</v>
      </c>
      <c r="B13" s="180" t="s">
        <v>479</v>
      </c>
      <c r="C13" s="179">
        <f>公办义务教育营养午餐!E12</f>
        <v>2235240</v>
      </c>
    </row>
    <row r="14" spans="1:3" ht="30" customHeight="1">
      <c r="A14" s="177">
        <v>11</v>
      </c>
      <c r="B14" s="180" t="s">
        <v>480</v>
      </c>
      <c r="C14" s="179">
        <f>公办义务教育资助!L14</f>
        <v>245820</v>
      </c>
    </row>
    <row r="15" spans="1:3" ht="30" customHeight="1">
      <c r="A15" s="177">
        <v>12</v>
      </c>
      <c r="B15" s="177" t="s">
        <v>481</v>
      </c>
      <c r="C15" s="179">
        <f>公办学前资助!N11</f>
        <v>76132</v>
      </c>
    </row>
    <row r="16" spans="1:3" ht="30" customHeight="1">
      <c r="A16" s="177">
        <v>13</v>
      </c>
      <c r="B16" s="177" t="s">
        <v>483</v>
      </c>
      <c r="C16" s="179">
        <f>颛桥维修!K79+尾款清算!K19</f>
        <v>4451810.95</v>
      </c>
    </row>
    <row r="17" spans="1:3" ht="30" customHeight="1">
      <c r="A17" s="177">
        <v>14</v>
      </c>
      <c r="B17" s="177" t="s">
        <v>484</v>
      </c>
      <c r="C17" s="179">
        <v>1208988.3799999999</v>
      </c>
    </row>
    <row r="18" spans="1:3" ht="30" customHeight="1">
      <c r="A18" s="177"/>
      <c r="B18" s="177" t="s">
        <v>482</v>
      </c>
      <c r="C18" s="181">
        <f>SUM(C4:C17)</f>
        <v>493694515.29000002</v>
      </c>
    </row>
    <row r="19" spans="1:3" ht="30" customHeight="1"/>
    <row r="20" spans="1:3" ht="30" customHeight="1"/>
  </sheetData>
  <mergeCells count="2">
    <mergeCell ref="A1:C1"/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D2" sqref="D2:K2"/>
    </sheetView>
  </sheetViews>
  <sheetFormatPr defaultRowHeight="13.5"/>
  <cols>
    <col min="1" max="1" width="4.625" style="80" customWidth="1"/>
    <col min="2" max="2" width="20.375" style="81" customWidth="1"/>
    <col min="3" max="3" width="8.625" style="81" customWidth="1"/>
    <col min="4" max="12" width="10.625" style="72" customWidth="1"/>
    <col min="13" max="16384" width="9" style="72"/>
  </cols>
  <sheetData>
    <row r="1" spans="1:12" ht="28.5" customHeight="1">
      <c r="A1" s="211" t="s">
        <v>329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3.5" customHeight="1">
      <c r="A2" s="212" t="s">
        <v>3</v>
      </c>
      <c r="B2" s="212" t="s">
        <v>272</v>
      </c>
      <c r="C2" s="212" t="s">
        <v>222</v>
      </c>
      <c r="D2" s="214" t="s">
        <v>277</v>
      </c>
      <c r="E2" s="214"/>
      <c r="F2" s="214"/>
      <c r="G2" s="214"/>
      <c r="H2" s="214"/>
      <c r="I2" s="214"/>
      <c r="J2" s="214"/>
      <c r="K2" s="214"/>
      <c r="L2" s="215" t="s">
        <v>278</v>
      </c>
    </row>
    <row r="3" spans="1:12" ht="13.5" customHeight="1">
      <c r="A3" s="212"/>
      <c r="B3" s="212"/>
      <c r="C3" s="212"/>
      <c r="D3" s="73" t="s">
        <v>279</v>
      </c>
      <c r="E3" s="73" t="s">
        <v>280</v>
      </c>
      <c r="F3" s="73" t="s">
        <v>281</v>
      </c>
      <c r="G3" s="73" t="s">
        <v>282</v>
      </c>
      <c r="H3" s="73" t="s">
        <v>283</v>
      </c>
      <c r="I3" s="73" t="s">
        <v>284</v>
      </c>
      <c r="J3" s="73" t="s">
        <v>285</v>
      </c>
      <c r="K3" s="74" t="s">
        <v>240</v>
      </c>
      <c r="L3" s="216"/>
    </row>
    <row r="4" spans="1:12">
      <c r="A4" s="213"/>
      <c r="B4" s="213"/>
      <c r="C4" s="213"/>
      <c r="D4" s="73" t="s">
        <v>286</v>
      </c>
      <c r="E4" s="73" t="s">
        <v>286</v>
      </c>
      <c r="F4" s="73" t="s">
        <v>286</v>
      </c>
      <c r="G4" s="73" t="s">
        <v>286</v>
      </c>
      <c r="H4" s="73" t="s">
        <v>286</v>
      </c>
      <c r="I4" s="73" t="s">
        <v>286</v>
      </c>
      <c r="J4" s="73" t="s">
        <v>286</v>
      </c>
      <c r="K4" s="73" t="s">
        <v>286</v>
      </c>
      <c r="L4" s="217" t="s">
        <v>286</v>
      </c>
    </row>
    <row r="5" spans="1:12" ht="18" customHeight="1">
      <c r="A5" s="75">
        <v>1</v>
      </c>
      <c r="B5" s="63" t="s">
        <v>275</v>
      </c>
      <c r="C5" s="63" t="s">
        <v>193</v>
      </c>
      <c r="D5" s="64"/>
      <c r="E5" s="64">
        <v>13625</v>
      </c>
      <c r="F5" s="76"/>
      <c r="G5" s="76"/>
      <c r="H5" s="76">
        <v>3620</v>
      </c>
      <c r="I5" s="76"/>
      <c r="J5" s="77"/>
      <c r="K5" s="78">
        <f t="shared" ref="K5:K13" si="0">D5+E5+F5+G5+H5+I5+J5</f>
        <v>17245</v>
      </c>
      <c r="L5" s="78">
        <f t="shared" ref="L5:L13" si="1">K5*2</f>
        <v>34490</v>
      </c>
    </row>
    <row r="6" spans="1:12" ht="18" customHeight="1">
      <c r="A6" s="75"/>
      <c r="B6" s="63" t="s">
        <v>276</v>
      </c>
      <c r="C6" s="63" t="s">
        <v>193</v>
      </c>
      <c r="D6" s="76">
        <v>4575</v>
      </c>
      <c r="E6" s="76">
        <v>8195</v>
      </c>
      <c r="F6" s="76"/>
      <c r="G6" s="76"/>
      <c r="H6" s="76"/>
      <c r="I6" s="76"/>
      <c r="J6" s="77"/>
      <c r="K6" s="78">
        <f t="shared" si="0"/>
        <v>12770</v>
      </c>
      <c r="L6" s="78">
        <f t="shared" si="1"/>
        <v>25540</v>
      </c>
    </row>
    <row r="7" spans="1:12" ht="18" customHeight="1">
      <c r="A7" s="75">
        <v>2</v>
      </c>
      <c r="B7" s="63" t="s">
        <v>179</v>
      </c>
      <c r="C7" s="63" t="s">
        <v>194</v>
      </c>
      <c r="D7" s="76">
        <v>15540</v>
      </c>
      <c r="E7" s="76">
        <v>3440</v>
      </c>
      <c r="F7" s="76"/>
      <c r="G7" s="76"/>
      <c r="H7" s="76"/>
      <c r="I7" s="76"/>
      <c r="J7" s="77"/>
      <c r="K7" s="78">
        <f t="shared" si="0"/>
        <v>18980</v>
      </c>
      <c r="L7" s="78">
        <f t="shared" si="1"/>
        <v>37960</v>
      </c>
    </row>
    <row r="8" spans="1:12" ht="18" customHeight="1">
      <c r="A8" s="75">
        <v>3</v>
      </c>
      <c r="B8" s="63" t="s">
        <v>178</v>
      </c>
      <c r="C8" s="63" t="s">
        <v>194</v>
      </c>
      <c r="D8" s="76"/>
      <c r="E8" s="76">
        <v>7705</v>
      </c>
      <c r="F8" s="76"/>
      <c r="G8" s="76"/>
      <c r="H8" s="76"/>
      <c r="I8" s="76"/>
      <c r="J8" s="77"/>
      <c r="K8" s="78">
        <f t="shared" si="0"/>
        <v>7705</v>
      </c>
      <c r="L8" s="78">
        <f t="shared" si="1"/>
        <v>15410</v>
      </c>
    </row>
    <row r="9" spans="1:12" ht="18" customHeight="1">
      <c r="A9" s="75">
        <v>4</v>
      </c>
      <c r="B9" s="63" t="s">
        <v>180</v>
      </c>
      <c r="C9" s="63" t="s">
        <v>194</v>
      </c>
      <c r="D9" s="76"/>
      <c r="E9" s="76">
        <v>18270</v>
      </c>
      <c r="F9" s="76"/>
      <c r="G9" s="76"/>
      <c r="H9" s="76">
        <v>3780</v>
      </c>
      <c r="I9" s="76"/>
      <c r="J9" s="77"/>
      <c r="K9" s="78">
        <f t="shared" si="0"/>
        <v>22050</v>
      </c>
      <c r="L9" s="78">
        <f t="shared" si="1"/>
        <v>44100</v>
      </c>
    </row>
    <row r="10" spans="1:12" ht="18" customHeight="1">
      <c r="A10" s="75">
        <v>5</v>
      </c>
      <c r="B10" s="63" t="s">
        <v>181</v>
      </c>
      <c r="C10" s="63" t="s">
        <v>194</v>
      </c>
      <c r="D10" s="76">
        <v>3245</v>
      </c>
      <c r="E10" s="76"/>
      <c r="F10" s="76"/>
      <c r="G10" s="76"/>
      <c r="H10" s="76">
        <v>3245</v>
      </c>
      <c r="I10" s="76"/>
      <c r="J10" s="77"/>
      <c r="K10" s="78">
        <f t="shared" si="0"/>
        <v>6490</v>
      </c>
      <c r="L10" s="78">
        <f t="shared" si="1"/>
        <v>12980</v>
      </c>
    </row>
    <row r="11" spans="1:12" ht="18" customHeight="1">
      <c r="A11" s="75">
        <v>6</v>
      </c>
      <c r="B11" s="63" t="s">
        <v>176</v>
      </c>
      <c r="C11" s="70" t="s">
        <v>192</v>
      </c>
      <c r="D11" s="76">
        <v>1555</v>
      </c>
      <c r="E11" s="76">
        <v>7775</v>
      </c>
      <c r="F11" s="76"/>
      <c r="G11" s="76"/>
      <c r="H11" s="76"/>
      <c r="I11" s="76"/>
      <c r="J11" s="77"/>
      <c r="K11" s="78">
        <f t="shared" si="0"/>
        <v>9330</v>
      </c>
      <c r="L11" s="78">
        <f t="shared" si="1"/>
        <v>18660</v>
      </c>
    </row>
    <row r="12" spans="1:12" ht="18" customHeight="1">
      <c r="A12" s="75">
        <v>7</v>
      </c>
      <c r="B12" s="63" t="s">
        <v>177</v>
      </c>
      <c r="C12" s="70" t="s">
        <v>192</v>
      </c>
      <c r="D12" s="76">
        <v>5905</v>
      </c>
      <c r="E12" s="76">
        <v>6100</v>
      </c>
      <c r="F12" s="76"/>
      <c r="G12" s="76"/>
      <c r="H12" s="76">
        <v>6135</v>
      </c>
      <c r="I12" s="76"/>
      <c r="J12" s="77"/>
      <c r="K12" s="78">
        <f t="shared" si="0"/>
        <v>18140</v>
      </c>
      <c r="L12" s="78">
        <f t="shared" si="1"/>
        <v>36280</v>
      </c>
    </row>
    <row r="13" spans="1:12" ht="18" customHeight="1">
      <c r="A13" s="75">
        <v>8</v>
      </c>
      <c r="B13" s="63" t="s">
        <v>251</v>
      </c>
      <c r="C13" s="70" t="s">
        <v>192</v>
      </c>
      <c r="D13" s="76"/>
      <c r="E13" s="76">
        <v>10200</v>
      </c>
      <c r="F13" s="76"/>
      <c r="G13" s="76"/>
      <c r="H13" s="76"/>
      <c r="I13" s="76"/>
      <c r="J13" s="77"/>
      <c r="K13" s="78">
        <f t="shared" si="0"/>
        <v>10200</v>
      </c>
      <c r="L13" s="78">
        <f t="shared" si="1"/>
        <v>20400</v>
      </c>
    </row>
    <row r="14" spans="1:12" ht="18" customHeight="1">
      <c r="A14" s="66"/>
      <c r="B14" s="67" t="s">
        <v>254</v>
      </c>
      <c r="C14" s="68"/>
      <c r="D14" s="79">
        <f t="shared" ref="D14:L14" si="2">SUM(D5:D13)</f>
        <v>30820</v>
      </c>
      <c r="E14" s="79">
        <f t="shared" si="2"/>
        <v>75310</v>
      </c>
      <c r="F14" s="79">
        <f t="shared" si="2"/>
        <v>0</v>
      </c>
      <c r="G14" s="79">
        <f t="shared" si="2"/>
        <v>0</v>
      </c>
      <c r="H14" s="79">
        <f t="shared" si="2"/>
        <v>16780</v>
      </c>
      <c r="I14" s="79">
        <f t="shared" si="2"/>
        <v>0</v>
      </c>
      <c r="J14" s="79">
        <f t="shared" si="2"/>
        <v>0</v>
      </c>
      <c r="K14" s="79">
        <f t="shared" si="2"/>
        <v>122910</v>
      </c>
      <c r="L14" s="79">
        <f t="shared" si="2"/>
        <v>245820</v>
      </c>
    </row>
  </sheetData>
  <mergeCells count="6">
    <mergeCell ref="A1:L1"/>
    <mergeCell ref="A2:A4"/>
    <mergeCell ref="B2:B4"/>
    <mergeCell ref="C2:C4"/>
    <mergeCell ref="D2:K2"/>
    <mergeCell ref="L2:L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13" sqref="A13:XFD21"/>
    </sheetView>
  </sheetViews>
  <sheetFormatPr defaultRowHeight="13.5"/>
  <cols>
    <col min="1" max="1" width="12.25" style="59" customWidth="1"/>
    <col min="2" max="2" width="28.125" style="59" customWidth="1"/>
    <col min="3" max="3" width="11.75" style="59" customWidth="1"/>
    <col min="4" max="4" width="19.375" style="59" customWidth="1"/>
    <col min="5" max="5" width="20.375" style="59" customWidth="1"/>
    <col min="6" max="16384" width="9" style="59"/>
  </cols>
  <sheetData>
    <row r="1" spans="1:6" ht="18.75">
      <c r="A1" s="218" t="s">
        <v>271</v>
      </c>
      <c r="B1" s="218"/>
      <c r="C1" s="218"/>
      <c r="D1" s="218"/>
      <c r="E1" s="219"/>
    </row>
    <row r="2" spans="1:6" ht="18" customHeight="1">
      <c r="A2" s="60" t="s">
        <v>3</v>
      </c>
      <c r="B2" s="60" t="s">
        <v>272</v>
      </c>
      <c r="C2" s="60" t="s">
        <v>273</v>
      </c>
      <c r="D2" s="61" t="s">
        <v>274</v>
      </c>
      <c r="E2" s="60" t="s">
        <v>7</v>
      </c>
    </row>
    <row r="3" spans="1:6" ht="18" customHeight="1">
      <c r="A3" s="62">
        <v>1</v>
      </c>
      <c r="B3" s="63" t="s">
        <v>275</v>
      </c>
      <c r="C3" s="63" t="s">
        <v>193</v>
      </c>
      <c r="D3" s="64">
        <v>53010</v>
      </c>
      <c r="E3" s="65">
        <f t="shared" ref="E3:E11" si="0">D3*2</f>
        <v>106020</v>
      </c>
    </row>
    <row r="4" spans="1:6" ht="18" customHeight="1">
      <c r="A4" s="62"/>
      <c r="B4" s="63" t="s">
        <v>276</v>
      </c>
      <c r="C4" s="63" t="s">
        <v>193</v>
      </c>
      <c r="D4" s="64">
        <v>99180</v>
      </c>
      <c r="E4" s="65">
        <f t="shared" si="0"/>
        <v>198360</v>
      </c>
    </row>
    <row r="5" spans="1:6" ht="18" customHeight="1">
      <c r="A5" s="62">
        <v>2</v>
      </c>
      <c r="B5" s="63" t="s">
        <v>179</v>
      </c>
      <c r="C5" s="63" t="s">
        <v>194</v>
      </c>
      <c r="D5" s="64">
        <v>127680</v>
      </c>
      <c r="E5" s="65">
        <f t="shared" si="0"/>
        <v>255360</v>
      </c>
    </row>
    <row r="6" spans="1:6" ht="18" customHeight="1">
      <c r="A6" s="62">
        <v>3</v>
      </c>
      <c r="B6" s="63" t="s">
        <v>178</v>
      </c>
      <c r="C6" s="63" t="s">
        <v>194</v>
      </c>
      <c r="D6" s="64">
        <v>101025</v>
      </c>
      <c r="E6" s="65">
        <f t="shared" si="0"/>
        <v>202050</v>
      </c>
    </row>
    <row r="7" spans="1:6" ht="18" customHeight="1">
      <c r="A7" s="62">
        <v>4</v>
      </c>
      <c r="B7" s="63" t="s">
        <v>180</v>
      </c>
      <c r="C7" s="63" t="s">
        <v>194</v>
      </c>
      <c r="D7" s="64">
        <f>324900+1710</f>
        <v>326610</v>
      </c>
      <c r="E7" s="65">
        <f t="shared" si="0"/>
        <v>653220</v>
      </c>
    </row>
    <row r="8" spans="1:6" ht="18" customHeight="1">
      <c r="A8" s="62">
        <v>5</v>
      </c>
      <c r="B8" s="63" t="s">
        <v>181</v>
      </c>
      <c r="C8" s="63" t="s">
        <v>194</v>
      </c>
      <c r="D8" s="64">
        <v>65550</v>
      </c>
      <c r="E8" s="65">
        <f t="shared" si="0"/>
        <v>131100</v>
      </c>
    </row>
    <row r="9" spans="1:6" ht="18" customHeight="1">
      <c r="A9" s="62">
        <v>6</v>
      </c>
      <c r="B9" s="63" t="s">
        <v>176</v>
      </c>
      <c r="C9" s="70" t="s">
        <v>192</v>
      </c>
      <c r="D9" s="64">
        <v>132525</v>
      </c>
      <c r="E9" s="65">
        <f t="shared" si="0"/>
        <v>265050</v>
      </c>
      <c r="F9" s="71"/>
    </row>
    <row r="10" spans="1:6" ht="18" customHeight="1">
      <c r="A10" s="62">
        <v>7</v>
      </c>
      <c r="B10" s="63" t="s">
        <v>177</v>
      </c>
      <c r="C10" s="70" t="s">
        <v>192</v>
      </c>
      <c r="D10" s="64">
        <v>94050</v>
      </c>
      <c r="E10" s="65">
        <f t="shared" si="0"/>
        <v>188100</v>
      </c>
    </row>
    <row r="11" spans="1:6" ht="18" customHeight="1">
      <c r="A11" s="62">
        <v>8</v>
      </c>
      <c r="B11" s="63" t="s">
        <v>251</v>
      </c>
      <c r="C11" s="70" t="s">
        <v>192</v>
      </c>
      <c r="D11" s="64">
        <v>117990</v>
      </c>
      <c r="E11" s="65">
        <f t="shared" si="0"/>
        <v>235980</v>
      </c>
    </row>
    <row r="12" spans="1:6" ht="18" customHeight="1">
      <c r="A12" s="66"/>
      <c r="B12" s="67" t="s">
        <v>254</v>
      </c>
      <c r="C12" s="68"/>
      <c r="D12" s="69">
        <f>SUM(D3:D11)</f>
        <v>1117620</v>
      </c>
      <c r="E12" s="69">
        <f>SUM(E3:E11)</f>
        <v>2235240</v>
      </c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A13" sqref="A13:XFD21"/>
    </sheetView>
  </sheetViews>
  <sheetFormatPr defaultColWidth="7" defaultRowHeight="13.5"/>
  <cols>
    <col min="1" max="1" width="27.25" style="93" customWidth="1"/>
    <col min="2" max="2" width="13.125" style="93" hidden="1" customWidth="1"/>
    <col min="3" max="3" width="6" style="93" hidden="1" customWidth="1"/>
    <col min="4" max="7" width="10.625" style="93" customWidth="1"/>
    <col min="8" max="9" width="10.625" style="93" hidden="1" customWidth="1"/>
    <col min="10" max="11" width="10.625" style="93" customWidth="1"/>
    <col min="12" max="12" width="10.625" style="94" customWidth="1"/>
    <col min="13" max="13" width="8.5" style="93" customWidth="1"/>
    <col min="14" max="14" width="10.625" style="93" customWidth="1"/>
    <col min="15" max="16384" width="7" style="93"/>
  </cols>
  <sheetData>
    <row r="1" spans="1:14" s="82" customFormat="1" ht="24.95" customHeight="1">
      <c r="A1" s="211" t="s">
        <v>287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82" customFormat="1" ht="23.25" customHeight="1">
      <c r="A2" s="212" t="s">
        <v>3</v>
      </c>
      <c r="B2" s="212" t="s">
        <v>272</v>
      </c>
      <c r="C2" s="212" t="s">
        <v>288</v>
      </c>
      <c r="D2" s="214" t="s">
        <v>289</v>
      </c>
      <c r="E2" s="214"/>
      <c r="F2" s="214"/>
      <c r="G2" s="214"/>
      <c r="H2" s="214"/>
      <c r="I2" s="214"/>
      <c r="J2" s="214"/>
      <c r="K2" s="214"/>
      <c r="L2" s="214"/>
      <c r="M2" s="214"/>
      <c r="N2" s="220" t="s">
        <v>290</v>
      </c>
    </row>
    <row r="3" spans="1:14" s="82" customFormat="1" ht="15.75" customHeight="1">
      <c r="A3" s="212"/>
      <c r="B3" s="212"/>
      <c r="C3" s="212"/>
      <c r="D3" s="83" t="s">
        <v>291</v>
      </c>
      <c r="E3" s="83" t="s">
        <v>292</v>
      </c>
      <c r="F3" s="83" t="s">
        <v>293</v>
      </c>
      <c r="G3" s="83" t="s">
        <v>294</v>
      </c>
      <c r="H3" s="83" t="s">
        <v>295</v>
      </c>
      <c r="I3" s="83" t="s">
        <v>296</v>
      </c>
      <c r="J3" s="83" t="s">
        <v>297</v>
      </c>
      <c r="K3" s="83" t="s">
        <v>298</v>
      </c>
      <c r="L3" s="83" t="s">
        <v>299</v>
      </c>
      <c r="M3" s="74" t="s">
        <v>7</v>
      </c>
      <c r="N3" s="220"/>
    </row>
    <row r="4" spans="1:14" s="84" customFormat="1" ht="20.100000000000001" customHeight="1">
      <c r="A4" s="213"/>
      <c r="B4" s="213"/>
      <c r="C4" s="213"/>
      <c r="D4" s="73" t="s">
        <v>286</v>
      </c>
      <c r="E4" s="73" t="s">
        <v>286</v>
      </c>
      <c r="F4" s="73" t="s">
        <v>286</v>
      </c>
      <c r="G4" s="73" t="s">
        <v>286</v>
      </c>
      <c r="H4" s="73" t="s">
        <v>286</v>
      </c>
      <c r="I4" s="73" t="s">
        <v>286</v>
      </c>
      <c r="J4" s="73" t="s">
        <v>286</v>
      </c>
      <c r="K4" s="73" t="s">
        <v>286</v>
      </c>
      <c r="L4" s="73" t="s">
        <v>286</v>
      </c>
      <c r="M4" s="73" t="s">
        <v>286</v>
      </c>
      <c r="N4" s="220" t="s">
        <v>286</v>
      </c>
    </row>
    <row r="5" spans="1:14" s="84" customFormat="1" ht="20.100000000000001" customHeight="1">
      <c r="A5" s="92" t="s">
        <v>206</v>
      </c>
      <c r="B5" s="86" t="s">
        <v>300</v>
      </c>
      <c r="C5" s="86" t="s">
        <v>195</v>
      </c>
      <c r="D5" s="87">
        <v>8448</v>
      </c>
      <c r="E5" s="87">
        <v>3072</v>
      </c>
      <c r="F5" s="87">
        <v>400</v>
      </c>
      <c r="G5" s="87">
        <v>0</v>
      </c>
      <c r="H5" s="87">
        <v>0</v>
      </c>
      <c r="I5" s="87">
        <v>0</v>
      </c>
      <c r="J5" s="87">
        <v>800</v>
      </c>
      <c r="K5" s="87">
        <v>960</v>
      </c>
      <c r="L5" s="87">
        <v>0</v>
      </c>
      <c r="M5" s="50">
        <f t="shared" ref="M5:M10" si="0">SUM(D5:L5)</f>
        <v>13680</v>
      </c>
      <c r="N5" s="51">
        <f t="shared" ref="N5:N10" si="1">M5*2</f>
        <v>27360</v>
      </c>
    </row>
    <row r="6" spans="1:14" s="84" customFormat="1" ht="20.100000000000001" customHeight="1">
      <c r="A6" s="92" t="s">
        <v>204</v>
      </c>
      <c r="B6" s="86" t="s">
        <v>301</v>
      </c>
      <c r="C6" s="86" t="s">
        <v>195</v>
      </c>
      <c r="D6" s="87">
        <v>2112</v>
      </c>
      <c r="E6" s="87">
        <v>768</v>
      </c>
      <c r="F6" s="87">
        <v>70</v>
      </c>
      <c r="G6" s="87">
        <v>0</v>
      </c>
      <c r="H6" s="87">
        <v>0</v>
      </c>
      <c r="I6" s="87">
        <v>0</v>
      </c>
      <c r="J6" s="87">
        <v>200</v>
      </c>
      <c r="K6" s="87">
        <v>300</v>
      </c>
      <c r="L6" s="87">
        <v>0</v>
      </c>
      <c r="M6" s="50">
        <f t="shared" si="0"/>
        <v>3450</v>
      </c>
      <c r="N6" s="51">
        <f t="shared" si="1"/>
        <v>6900</v>
      </c>
    </row>
    <row r="7" spans="1:14" s="84" customFormat="1" ht="20.100000000000001" customHeight="1">
      <c r="A7" s="85" t="s">
        <v>302</v>
      </c>
      <c r="B7" s="86" t="s">
        <v>301</v>
      </c>
      <c r="C7" s="86" t="s">
        <v>195</v>
      </c>
      <c r="D7" s="87">
        <v>1728</v>
      </c>
      <c r="E7" s="87">
        <v>768</v>
      </c>
      <c r="F7" s="87">
        <v>70</v>
      </c>
      <c r="G7" s="87">
        <v>0</v>
      </c>
      <c r="H7" s="87">
        <v>0</v>
      </c>
      <c r="I7" s="87">
        <v>0</v>
      </c>
      <c r="J7" s="87">
        <v>200</v>
      </c>
      <c r="K7" s="87">
        <v>200</v>
      </c>
      <c r="L7" s="87">
        <v>0</v>
      </c>
      <c r="M7" s="50">
        <f t="shared" si="0"/>
        <v>2966</v>
      </c>
      <c r="N7" s="51">
        <f t="shared" si="1"/>
        <v>5932</v>
      </c>
    </row>
    <row r="8" spans="1:14" s="84" customFormat="1" ht="20.100000000000001" customHeight="1">
      <c r="A8" s="92" t="s">
        <v>207</v>
      </c>
      <c r="B8" s="86" t="s">
        <v>301</v>
      </c>
      <c r="C8" s="86" t="s">
        <v>195</v>
      </c>
      <c r="D8" s="87">
        <v>3456</v>
      </c>
      <c r="E8" s="87">
        <v>1536</v>
      </c>
      <c r="F8" s="87">
        <v>140</v>
      </c>
      <c r="G8" s="87">
        <v>0</v>
      </c>
      <c r="H8" s="87">
        <v>0</v>
      </c>
      <c r="I8" s="87">
        <v>0</v>
      </c>
      <c r="J8" s="87">
        <v>400</v>
      </c>
      <c r="K8" s="87">
        <v>600</v>
      </c>
      <c r="L8" s="87">
        <v>0</v>
      </c>
      <c r="M8" s="50">
        <f t="shared" si="0"/>
        <v>6132</v>
      </c>
      <c r="N8" s="51">
        <f t="shared" si="1"/>
        <v>12264</v>
      </c>
    </row>
    <row r="9" spans="1:14" s="84" customFormat="1" ht="20.100000000000001" customHeight="1">
      <c r="A9" s="92" t="s">
        <v>208</v>
      </c>
      <c r="B9" s="86" t="s">
        <v>301</v>
      </c>
      <c r="C9" s="86" t="s">
        <v>195</v>
      </c>
      <c r="D9" s="87">
        <v>5184</v>
      </c>
      <c r="E9" s="87">
        <v>2304</v>
      </c>
      <c r="F9" s="87">
        <v>210</v>
      </c>
      <c r="G9" s="87">
        <v>0</v>
      </c>
      <c r="H9" s="87">
        <v>0</v>
      </c>
      <c r="I9" s="87">
        <v>0</v>
      </c>
      <c r="J9" s="87">
        <v>600</v>
      </c>
      <c r="K9" s="87">
        <v>600</v>
      </c>
      <c r="L9" s="87">
        <v>0</v>
      </c>
      <c r="M9" s="50">
        <f t="shared" si="0"/>
        <v>8898</v>
      </c>
      <c r="N9" s="51">
        <f t="shared" si="1"/>
        <v>17796</v>
      </c>
    </row>
    <row r="10" spans="1:14" s="84" customFormat="1" ht="20.100000000000001" customHeight="1">
      <c r="A10" s="88" t="s">
        <v>303</v>
      </c>
      <c r="B10" s="86" t="s">
        <v>301</v>
      </c>
      <c r="C10" s="86" t="s">
        <v>195</v>
      </c>
      <c r="D10" s="87">
        <v>1900</v>
      </c>
      <c r="E10" s="87">
        <v>570</v>
      </c>
      <c r="F10" s="87">
        <v>70</v>
      </c>
      <c r="G10" s="87">
        <v>0</v>
      </c>
      <c r="H10" s="87">
        <v>0</v>
      </c>
      <c r="I10" s="87">
        <v>0</v>
      </c>
      <c r="J10" s="87">
        <v>200</v>
      </c>
      <c r="K10" s="87">
        <v>200</v>
      </c>
      <c r="L10" s="87">
        <v>0</v>
      </c>
      <c r="M10" s="50">
        <f t="shared" si="0"/>
        <v>2940</v>
      </c>
      <c r="N10" s="51">
        <f t="shared" si="1"/>
        <v>5880</v>
      </c>
    </row>
    <row r="11" spans="1:14" s="84" customFormat="1" ht="20.100000000000001" customHeight="1">
      <c r="A11" s="89" t="s">
        <v>304</v>
      </c>
      <c r="B11" s="90"/>
      <c r="C11" s="90"/>
      <c r="D11" s="91">
        <f>SUM(D5:D10)</f>
        <v>22828</v>
      </c>
      <c r="E11" s="91">
        <f t="shared" ref="E11:N11" si="2">SUM(E5:E10)</f>
        <v>9018</v>
      </c>
      <c r="F11" s="91">
        <f t="shared" si="2"/>
        <v>960</v>
      </c>
      <c r="G11" s="91">
        <f t="shared" si="2"/>
        <v>0</v>
      </c>
      <c r="H11" s="91">
        <f t="shared" si="2"/>
        <v>0</v>
      </c>
      <c r="I11" s="91">
        <f t="shared" si="2"/>
        <v>0</v>
      </c>
      <c r="J11" s="91">
        <f t="shared" si="2"/>
        <v>2400</v>
      </c>
      <c r="K11" s="91">
        <f t="shared" si="2"/>
        <v>2860</v>
      </c>
      <c r="L11" s="91">
        <f t="shared" si="2"/>
        <v>0</v>
      </c>
      <c r="M11" s="91">
        <f t="shared" si="2"/>
        <v>38066</v>
      </c>
      <c r="N11" s="91">
        <f t="shared" si="2"/>
        <v>76132</v>
      </c>
    </row>
  </sheetData>
  <mergeCells count="6">
    <mergeCell ref="A1:N1"/>
    <mergeCell ref="A2:A4"/>
    <mergeCell ref="B2:B4"/>
    <mergeCell ref="C2:C4"/>
    <mergeCell ref="D2:M2"/>
    <mergeCell ref="N2:N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XEU79"/>
  <sheetViews>
    <sheetView topLeftCell="A55" workbookViewId="0">
      <selection activeCell="A13" sqref="A13:XFD21"/>
    </sheetView>
  </sheetViews>
  <sheetFormatPr defaultColWidth="7.875" defaultRowHeight="13.5"/>
  <cols>
    <col min="1" max="1" width="4.375" style="123" customWidth="1"/>
    <col min="2" max="2" width="7.875" style="123"/>
    <col min="3" max="3" width="6.5" style="123" customWidth="1"/>
    <col min="4" max="4" width="7.875" style="123"/>
    <col min="5" max="5" width="18.5" style="123" customWidth="1"/>
    <col min="6" max="6" width="20.5" style="123" customWidth="1"/>
    <col min="7" max="7" width="5.25" style="123" customWidth="1"/>
    <col min="8" max="8" width="7.875" style="142" customWidth="1"/>
    <col min="9" max="9" width="8" style="142" customWidth="1"/>
    <col min="10" max="10" width="12.875" style="143" customWidth="1"/>
    <col min="11" max="11" width="11.125" style="157" customWidth="1"/>
    <col min="12" max="16375" width="7.875" style="123"/>
    <col min="16376" max="16384" width="7.875" style="124"/>
  </cols>
  <sheetData>
    <row r="1" spans="1:11" ht="30" customHeight="1">
      <c r="A1" s="222" t="s">
        <v>378</v>
      </c>
      <c r="B1" s="222"/>
      <c r="C1" s="222"/>
      <c r="D1" s="222"/>
      <c r="E1" s="222"/>
      <c r="F1" s="222"/>
      <c r="G1" s="222"/>
      <c r="H1" s="223"/>
      <c r="I1" s="223"/>
      <c r="J1" s="223"/>
      <c r="K1" s="203"/>
    </row>
    <row r="2" spans="1:11" ht="21.95" customHeight="1">
      <c r="A2" s="148" t="s">
        <v>3</v>
      </c>
      <c r="B2" s="148" t="s">
        <v>357</v>
      </c>
      <c r="C2" s="148" t="s">
        <v>358</v>
      </c>
      <c r="D2" s="148" t="s">
        <v>359</v>
      </c>
      <c r="E2" s="148" t="s">
        <v>360</v>
      </c>
      <c r="F2" s="148" t="s">
        <v>361</v>
      </c>
      <c r="G2" s="148" t="s">
        <v>1</v>
      </c>
      <c r="H2" s="126" t="s">
        <v>362</v>
      </c>
      <c r="I2" s="127" t="s">
        <v>363</v>
      </c>
      <c r="J2" s="128" t="s">
        <v>364</v>
      </c>
      <c r="K2" s="125" t="s">
        <v>444</v>
      </c>
    </row>
    <row r="3" spans="1:11" ht="21.95" customHeight="1">
      <c r="A3" s="240">
        <v>1</v>
      </c>
      <c r="B3" s="240" t="s">
        <v>379</v>
      </c>
      <c r="C3" s="240" t="s">
        <v>380</v>
      </c>
      <c r="D3" s="240" t="s">
        <v>365</v>
      </c>
      <c r="E3" s="240" t="s">
        <v>381</v>
      </c>
      <c r="F3" s="149" t="s">
        <v>382</v>
      </c>
      <c r="G3" s="131" t="s">
        <v>366</v>
      </c>
      <c r="H3" s="132">
        <v>1810</v>
      </c>
      <c r="I3" s="132">
        <v>50</v>
      </c>
      <c r="J3" s="133">
        <v>90500</v>
      </c>
      <c r="K3" s="221">
        <f>ROUND(J9*0.8,0)</f>
        <v>450944</v>
      </c>
    </row>
    <row r="4" spans="1:11" ht="21.95" customHeight="1">
      <c r="A4" s="240"/>
      <c r="B4" s="240"/>
      <c r="C4" s="240"/>
      <c r="D4" s="240"/>
      <c r="E4" s="239"/>
      <c r="F4" s="130" t="s">
        <v>383</v>
      </c>
      <c r="G4" s="131" t="s">
        <v>366</v>
      </c>
      <c r="H4" s="132">
        <v>1810</v>
      </c>
      <c r="I4" s="132">
        <v>200</v>
      </c>
      <c r="J4" s="133">
        <v>362000</v>
      </c>
      <c r="K4" s="221"/>
    </row>
    <row r="5" spans="1:11" ht="21.95" customHeight="1">
      <c r="A5" s="240"/>
      <c r="B5" s="240"/>
      <c r="C5" s="240"/>
      <c r="D5" s="240"/>
      <c r="E5" s="239"/>
      <c r="F5" s="130" t="s">
        <v>384</v>
      </c>
      <c r="G5" s="131" t="s">
        <v>368</v>
      </c>
      <c r="H5" s="132">
        <v>120</v>
      </c>
      <c r="I5" s="132">
        <v>200</v>
      </c>
      <c r="J5" s="133">
        <v>24000</v>
      </c>
      <c r="K5" s="221"/>
    </row>
    <row r="6" spans="1:11" ht="21.95" customHeight="1">
      <c r="A6" s="239"/>
      <c r="B6" s="239"/>
      <c r="C6" s="239"/>
      <c r="D6" s="239"/>
      <c r="E6" s="150" t="s">
        <v>369</v>
      </c>
      <c r="F6" s="151"/>
      <c r="G6" s="148"/>
      <c r="H6" s="152"/>
      <c r="I6" s="152"/>
      <c r="J6" s="153">
        <v>476500</v>
      </c>
      <c r="K6" s="221"/>
    </row>
    <row r="7" spans="1:11" ht="21.95" customHeight="1">
      <c r="A7" s="225"/>
      <c r="B7" s="225"/>
      <c r="C7" s="225"/>
      <c r="D7" s="229"/>
      <c r="E7" s="135" t="s">
        <v>370</v>
      </c>
      <c r="F7" s="135"/>
      <c r="G7" s="135"/>
      <c r="H7" s="145"/>
      <c r="I7" s="145"/>
      <c r="J7" s="154">
        <v>57180</v>
      </c>
      <c r="K7" s="221"/>
    </row>
    <row r="8" spans="1:11" ht="21.95" customHeight="1">
      <c r="A8" s="225"/>
      <c r="B8" s="225"/>
      <c r="C8" s="225"/>
      <c r="D8" s="229"/>
      <c r="E8" s="138" t="s">
        <v>377</v>
      </c>
      <c r="F8" s="130"/>
      <c r="G8" s="130" t="s">
        <v>375</v>
      </c>
      <c r="H8" s="136">
        <v>1</v>
      </c>
      <c r="I8" s="132">
        <v>30000</v>
      </c>
      <c r="J8" s="133">
        <v>30000</v>
      </c>
      <c r="K8" s="221"/>
    </row>
    <row r="9" spans="1:11" ht="21.95" customHeight="1">
      <c r="A9" s="226"/>
      <c r="B9" s="226"/>
      <c r="C9" s="226"/>
      <c r="D9" s="230"/>
      <c r="E9" s="135" t="s">
        <v>371</v>
      </c>
      <c r="F9" s="135"/>
      <c r="G9" s="135"/>
      <c r="H9" s="145"/>
      <c r="I9" s="145"/>
      <c r="J9" s="154">
        <v>563680</v>
      </c>
      <c r="K9" s="221"/>
    </row>
    <row r="10" spans="1:11" ht="21.95" customHeight="1">
      <c r="A10" s="240">
        <v>2</v>
      </c>
      <c r="B10" s="239" t="s">
        <v>385</v>
      </c>
      <c r="C10" s="239" t="s">
        <v>386</v>
      </c>
      <c r="D10" s="239" t="s">
        <v>365</v>
      </c>
      <c r="E10" s="240" t="s">
        <v>387</v>
      </c>
      <c r="F10" s="130" t="s">
        <v>388</v>
      </c>
      <c r="G10" s="131" t="s">
        <v>366</v>
      </c>
      <c r="H10" s="132">
        <v>1450</v>
      </c>
      <c r="I10" s="132">
        <v>15</v>
      </c>
      <c r="J10" s="133">
        <v>21750</v>
      </c>
      <c r="K10" s="221">
        <f>ROUND(J18*0.8,0)</f>
        <v>362880</v>
      </c>
    </row>
    <row r="11" spans="1:11" ht="21.95" customHeight="1">
      <c r="A11" s="239"/>
      <c r="B11" s="239"/>
      <c r="C11" s="239"/>
      <c r="D11" s="239"/>
      <c r="E11" s="239"/>
      <c r="F11" s="130" t="s">
        <v>389</v>
      </c>
      <c r="G11" s="131" t="s">
        <v>366</v>
      </c>
      <c r="H11" s="132">
        <v>1450</v>
      </c>
      <c r="I11" s="132">
        <v>180</v>
      </c>
      <c r="J11" s="133">
        <v>261000</v>
      </c>
      <c r="K11" s="221"/>
    </row>
    <row r="12" spans="1:11" ht="21.95" customHeight="1">
      <c r="A12" s="239"/>
      <c r="B12" s="239"/>
      <c r="C12" s="239"/>
      <c r="D12" s="239"/>
      <c r="E12" s="239"/>
      <c r="F12" s="130" t="s">
        <v>390</v>
      </c>
      <c r="G12" s="131" t="s">
        <v>366</v>
      </c>
      <c r="H12" s="132">
        <v>1450</v>
      </c>
      <c r="I12" s="132">
        <v>60</v>
      </c>
      <c r="J12" s="133">
        <v>87000</v>
      </c>
      <c r="K12" s="221"/>
    </row>
    <row r="13" spans="1:11" ht="21.95" customHeight="1">
      <c r="A13" s="239"/>
      <c r="B13" s="239"/>
      <c r="C13" s="239"/>
      <c r="D13" s="239"/>
      <c r="E13" s="239"/>
      <c r="F13" s="130" t="s">
        <v>391</v>
      </c>
      <c r="G13" s="131" t="s">
        <v>368</v>
      </c>
      <c r="H13" s="132">
        <v>36</v>
      </c>
      <c r="I13" s="132">
        <v>350</v>
      </c>
      <c r="J13" s="133">
        <v>12600</v>
      </c>
      <c r="K13" s="221"/>
    </row>
    <row r="14" spans="1:11" ht="21.95" customHeight="1">
      <c r="A14" s="239"/>
      <c r="B14" s="239"/>
      <c r="C14" s="239"/>
      <c r="D14" s="239"/>
      <c r="E14" s="239"/>
      <c r="F14" s="130" t="s">
        <v>392</v>
      </c>
      <c r="G14" s="131" t="s">
        <v>368</v>
      </c>
      <c r="H14" s="132">
        <v>55</v>
      </c>
      <c r="I14" s="132">
        <v>150</v>
      </c>
      <c r="J14" s="133">
        <v>8250</v>
      </c>
      <c r="K14" s="221"/>
    </row>
    <row r="15" spans="1:11" ht="21.95" customHeight="1">
      <c r="A15" s="239"/>
      <c r="B15" s="239"/>
      <c r="C15" s="239"/>
      <c r="D15" s="239"/>
      <c r="E15" s="239"/>
      <c r="F15" s="130" t="s">
        <v>367</v>
      </c>
      <c r="G15" s="131" t="s">
        <v>366</v>
      </c>
      <c r="H15" s="132">
        <v>300</v>
      </c>
      <c r="I15" s="132">
        <v>48</v>
      </c>
      <c r="J15" s="133">
        <v>14400</v>
      </c>
      <c r="K15" s="221"/>
    </row>
    <row r="16" spans="1:11" ht="21.95" customHeight="1">
      <c r="A16" s="239"/>
      <c r="B16" s="239"/>
      <c r="C16" s="239"/>
      <c r="D16" s="239"/>
      <c r="E16" s="150" t="s">
        <v>369</v>
      </c>
      <c r="F16" s="151"/>
      <c r="G16" s="148"/>
      <c r="H16" s="152"/>
      <c r="I16" s="152"/>
      <c r="J16" s="153">
        <v>405000</v>
      </c>
      <c r="K16" s="221"/>
    </row>
    <row r="17" spans="1:11" ht="21.95" customHeight="1">
      <c r="A17" s="239"/>
      <c r="B17" s="239"/>
      <c r="C17" s="239"/>
      <c r="D17" s="239"/>
      <c r="E17" s="135" t="s">
        <v>370</v>
      </c>
      <c r="F17" s="135"/>
      <c r="G17" s="135"/>
      <c r="H17" s="145"/>
      <c r="I17" s="145"/>
      <c r="J17" s="154">
        <v>48600</v>
      </c>
      <c r="K17" s="221"/>
    </row>
    <row r="18" spans="1:11" ht="21.95" customHeight="1">
      <c r="A18" s="241"/>
      <c r="B18" s="241"/>
      <c r="C18" s="241"/>
      <c r="D18" s="241"/>
      <c r="E18" s="135" t="s">
        <v>371</v>
      </c>
      <c r="F18" s="135"/>
      <c r="G18" s="135"/>
      <c r="H18" s="145"/>
      <c r="I18" s="145"/>
      <c r="J18" s="154">
        <v>453600</v>
      </c>
      <c r="K18" s="221"/>
    </row>
    <row r="19" spans="1:11" ht="21.95" customHeight="1">
      <c r="A19" s="239">
        <v>3</v>
      </c>
      <c r="B19" s="239" t="s">
        <v>393</v>
      </c>
      <c r="C19" s="239" t="s">
        <v>394</v>
      </c>
      <c r="D19" s="239" t="s">
        <v>365</v>
      </c>
      <c r="E19" s="238" t="s">
        <v>395</v>
      </c>
      <c r="F19" s="130" t="s">
        <v>396</v>
      </c>
      <c r="G19" s="129" t="s">
        <v>366</v>
      </c>
      <c r="H19" s="134">
        <v>3377</v>
      </c>
      <c r="I19" s="134">
        <v>48</v>
      </c>
      <c r="J19" s="133">
        <v>162096</v>
      </c>
      <c r="K19" s="221">
        <f>ROUND(J35*0.8,0)</f>
        <v>1079743</v>
      </c>
    </row>
    <row r="20" spans="1:11" ht="21.95" customHeight="1">
      <c r="A20" s="239"/>
      <c r="B20" s="239"/>
      <c r="C20" s="239"/>
      <c r="D20" s="239"/>
      <c r="E20" s="238"/>
      <c r="F20" s="130" t="s">
        <v>397</v>
      </c>
      <c r="G20" s="129" t="s">
        <v>366</v>
      </c>
      <c r="H20" s="136">
        <v>2235</v>
      </c>
      <c r="I20" s="136">
        <v>83</v>
      </c>
      <c r="J20" s="133">
        <v>185505</v>
      </c>
      <c r="K20" s="221"/>
    </row>
    <row r="21" spans="1:11" ht="21.95" customHeight="1">
      <c r="A21" s="239"/>
      <c r="B21" s="239"/>
      <c r="C21" s="239"/>
      <c r="D21" s="239"/>
      <c r="E21" s="238"/>
      <c r="F21" s="130" t="s">
        <v>398</v>
      </c>
      <c r="G21" s="131" t="s">
        <v>366</v>
      </c>
      <c r="H21" s="136">
        <v>1875</v>
      </c>
      <c r="I21" s="136">
        <v>80</v>
      </c>
      <c r="J21" s="133">
        <v>150000</v>
      </c>
      <c r="K21" s="221"/>
    </row>
    <row r="22" spans="1:11" ht="21.95" customHeight="1">
      <c r="A22" s="239"/>
      <c r="B22" s="239"/>
      <c r="C22" s="239"/>
      <c r="D22" s="239"/>
      <c r="E22" s="238" t="s">
        <v>399</v>
      </c>
      <c r="F22" s="130" t="s">
        <v>400</v>
      </c>
      <c r="G22" s="129" t="s">
        <v>366</v>
      </c>
      <c r="H22" s="134">
        <v>1950</v>
      </c>
      <c r="I22" s="134">
        <v>48</v>
      </c>
      <c r="J22" s="133">
        <v>93600</v>
      </c>
      <c r="K22" s="221"/>
    </row>
    <row r="23" spans="1:11" ht="21.95" customHeight="1">
      <c r="A23" s="239"/>
      <c r="B23" s="239"/>
      <c r="C23" s="239"/>
      <c r="D23" s="239"/>
      <c r="E23" s="238"/>
      <c r="F23" s="130" t="s">
        <v>397</v>
      </c>
      <c r="G23" s="129" t="s">
        <v>366</v>
      </c>
      <c r="H23" s="136">
        <v>895</v>
      </c>
      <c r="I23" s="134">
        <v>83</v>
      </c>
      <c r="J23" s="133">
        <v>74285</v>
      </c>
      <c r="K23" s="221"/>
    </row>
    <row r="24" spans="1:11" ht="21.95" customHeight="1">
      <c r="A24" s="239"/>
      <c r="B24" s="239"/>
      <c r="C24" s="239"/>
      <c r="D24" s="239"/>
      <c r="E24" s="238"/>
      <c r="F24" s="130" t="s">
        <v>398</v>
      </c>
      <c r="G24" s="129" t="s">
        <v>366</v>
      </c>
      <c r="H24" s="136">
        <v>487</v>
      </c>
      <c r="I24" s="134">
        <v>80</v>
      </c>
      <c r="J24" s="133">
        <v>38960</v>
      </c>
      <c r="K24" s="221"/>
    </row>
    <row r="25" spans="1:11" ht="21.95" customHeight="1">
      <c r="A25" s="239"/>
      <c r="B25" s="239"/>
      <c r="C25" s="239"/>
      <c r="D25" s="239"/>
      <c r="E25" s="238"/>
      <c r="F25" s="130" t="s">
        <v>401</v>
      </c>
      <c r="G25" s="129" t="s">
        <v>368</v>
      </c>
      <c r="H25" s="136">
        <v>65</v>
      </c>
      <c r="I25" s="136">
        <v>450</v>
      </c>
      <c r="J25" s="133">
        <v>29250</v>
      </c>
      <c r="K25" s="221"/>
    </row>
    <row r="26" spans="1:11" ht="21.95" customHeight="1">
      <c r="A26" s="239"/>
      <c r="B26" s="239"/>
      <c r="C26" s="239"/>
      <c r="D26" s="239"/>
      <c r="E26" s="239" t="s">
        <v>402</v>
      </c>
      <c r="F26" s="130" t="s">
        <v>396</v>
      </c>
      <c r="G26" s="131" t="s">
        <v>366</v>
      </c>
      <c r="H26" s="132">
        <v>799</v>
      </c>
      <c r="I26" s="132">
        <v>48</v>
      </c>
      <c r="J26" s="133">
        <v>38352</v>
      </c>
      <c r="K26" s="221"/>
    </row>
    <row r="27" spans="1:11" ht="21.95" customHeight="1">
      <c r="A27" s="239"/>
      <c r="B27" s="239"/>
      <c r="C27" s="239"/>
      <c r="D27" s="239"/>
      <c r="E27" s="239"/>
      <c r="F27" s="130" t="s">
        <v>397</v>
      </c>
      <c r="G27" s="131" t="s">
        <v>366</v>
      </c>
      <c r="H27" s="136">
        <v>468</v>
      </c>
      <c r="I27" s="132">
        <v>83</v>
      </c>
      <c r="J27" s="133">
        <v>38844</v>
      </c>
      <c r="K27" s="221"/>
    </row>
    <row r="28" spans="1:11" ht="21.95" customHeight="1">
      <c r="A28" s="239"/>
      <c r="B28" s="239"/>
      <c r="C28" s="239"/>
      <c r="D28" s="239"/>
      <c r="E28" s="239"/>
      <c r="F28" s="130" t="s">
        <v>398</v>
      </c>
      <c r="G28" s="131" t="s">
        <v>366</v>
      </c>
      <c r="H28" s="136">
        <v>175</v>
      </c>
      <c r="I28" s="132">
        <v>80</v>
      </c>
      <c r="J28" s="133">
        <v>14000</v>
      </c>
      <c r="K28" s="221"/>
    </row>
    <row r="29" spans="1:11" ht="21.95" customHeight="1">
      <c r="A29" s="239"/>
      <c r="B29" s="239"/>
      <c r="C29" s="239"/>
      <c r="D29" s="239"/>
      <c r="E29" s="239"/>
      <c r="F29" s="130" t="s">
        <v>401</v>
      </c>
      <c r="G29" s="131" t="s">
        <v>368</v>
      </c>
      <c r="H29" s="136">
        <v>30</v>
      </c>
      <c r="I29" s="136">
        <v>450</v>
      </c>
      <c r="J29" s="133">
        <v>13500</v>
      </c>
      <c r="K29" s="221"/>
    </row>
    <row r="30" spans="1:11" ht="21.95" customHeight="1">
      <c r="A30" s="239"/>
      <c r="B30" s="239"/>
      <c r="C30" s="239"/>
      <c r="D30" s="239"/>
      <c r="E30" s="240" t="s">
        <v>403</v>
      </c>
      <c r="F30" s="131" t="s">
        <v>404</v>
      </c>
      <c r="G30" s="131" t="s">
        <v>366</v>
      </c>
      <c r="H30" s="132">
        <v>1000</v>
      </c>
      <c r="I30" s="132">
        <v>250</v>
      </c>
      <c r="J30" s="133">
        <v>250000</v>
      </c>
      <c r="K30" s="221"/>
    </row>
    <row r="31" spans="1:11" ht="21.95" customHeight="1">
      <c r="A31" s="239"/>
      <c r="B31" s="239"/>
      <c r="C31" s="239"/>
      <c r="D31" s="239"/>
      <c r="E31" s="241"/>
      <c r="F31" s="131" t="s">
        <v>405</v>
      </c>
      <c r="G31" s="131" t="s">
        <v>406</v>
      </c>
      <c r="H31" s="132">
        <v>10</v>
      </c>
      <c r="I31" s="132">
        <v>900</v>
      </c>
      <c r="J31" s="133">
        <v>9000</v>
      </c>
      <c r="K31" s="221"/>
    </row>
    <row r="32" spans="1:11" ht="21.95" customHeight="1">
      <c r="A32" s="239"/>
      <c r="B32" s="239"/>
      <c r="C32" s="239"/>
      <c r="D32" s="239"/>
      <c r="E32" s="150" t="s">
        <v>369</v>
      </c>
      <c r="F32" s="155"/>
      <c r="G32" s="150"/>
      <c r="H32" s="156"/>
      <c r="I32" s="156"/>
      <c r="J32" s="154">
        <v>1097392</v>
      </c>
      <c r="K32" s="221"/>
    </row>
    <row r="33" spans="1:11" ht="21.95" customHeight="1">
      <c r="A33" s="225"/>
      <c r="B33" s="225"/>
      <c r="C33" s="225"/>
      <c r="D33" s="229"/>
      <c r="E33" s="135" t="s">
        <v>370</v>
      </c>
      <c r="F33" s="135"/>
      <c r="G33" s="135"/>
      <c r="H33" s="145"/>
      <c r="I33" s="145"/>
      <c r="J33" s="154">
        <v>131687.04000000001</v>
      </c>
      <c r="K33" s="221"/>
    </row>
    <row r="34" spans="1:11" ht="21.95" customHeight="1">
      <c r="A34" s="225"/>
      <c r="B34" s="225"/>
      <c r="C34" s="225"/>
      <c r="D34" s="229"/>
      <c r="E34" s="138" t="s">
        <v>373</v>
      </c>
      <c r="F34" s="130"/>
      <c r="G34" s="130" t="s">
        <v>374</v>
      </c>
      <c r="H34" s="136">
        <v>67</v>
      </c>
      <c r="I34" s="136">
        <v>1800</v>
      </c>
      <c r="J34" s="133">
        <v>120600</v>
      </c>
      <c r="K34" s="221"/>
    </row>
    <row r="35" spans="1:11" ht="21.95" customHeight="1">
      <c r="A35" s="226"/>
      <c r="B35" s="226"/>
      <c r="C35" s="226"/>
      <c r="D35" s="230"/>
      <c r="E35" s="135" t="s">
        <v>371</v>
      </c>
      <c r="F35" s="135"/>
      <c r="G35" s="135"/>
      <c r="H35" s="145"/>
      <c r="I35" s="145"/>
      <c r="J35" s="154">
        <v>1349679.04</v>
      </c>
      <c r="K35" s="221"/>
    </row>
    <row r="36" spans="1:11" ht="21.95" customHeight="1">
      <c r="A36" s="224">
        <v>4</v>
      </c>
      <c r="B36" s="224" t="s">
        <v>407</v>
      </c>
      <c r="C36" s="224" t="s">
        <v>408</v>
      </c>
      <c r="D36" s="231" t="s">
        <v>372</v>
      </c>
      <c r="E36" s="224" t="s">
        <v>403</v>
      </c>
      <c r="F36" s="130" t="s">
        <v>409</v>
      </c>
      <c r="G36" s="130" t="s">
        <v>366</v>
      </c>
      <c r="H36" s="136">
        <v>3120</v>
      </c>
      <c r="I36" s="136">
        <v>30</v>
      </c>
      <c r="J36" s="137">
        <v>93600</v>
      </c>
      <c r="K36" s="221">
        <f>ROUND(J43*0.8,0)</f>
        <v>847043</v>
      </c>
    </row>
    <row r="37" spans="1:11" ht="21.95" customHeight="1">
      <c r="A37" s="225"/>
      <c r="B37" s="225"/>
      <c r="C37" s="225"/>
      <c r="D37" s="229"/>
      <c r="E37" s="225"/>
      <c r="F37" s="130" t="s">
        <v>410</v>
      </c>
      <c r="G37" s="130" t="s">
        <v>366</v>
      </c>
      <c r="H37" s="136">
        <v>3120</v>
      </c>
      <c r="I37" s="136">
        <v>60</v>
      </c>
      <c r="J37" s="137">
        <v>187200</v>
      </c>
      <c r="K37" s="221"/>
    </row>
    <row r="38" spans="1:11" ht="21.95" customHeight="1">
      <c r="A38" s="225"/>
      <c r="B38" s="225"/>
      <c r="C38" s="225"/>
      <c r="D38" s="229"/>
      <c r="E38" s="225"/>
      <c r="F38" s="130" t="s">
        <v>411</v>
      </c>
      <c r="G38" s="130" t="s">
        <v>366</v>
      </c>
      <c r="H38" s="136">
        <v>3120</v>
      </c>
      <c r="I38" s="136">
        <v>100</v>
      </c>
      <c r="J38" s="137">
        <v>312000</v>
      </c>
      <c r="K38" s="221"/>
    </row>
    <row r="39" spans="1:11" ht="21.95" customHeight="1">
      <c r="A39" s="225"/>
      <c r="B39" s="225"/>
      <c r="C39" s="225"/>
      <c r="D39" s="229"/>
      <c r="E39" s="225"/>
      <c r="F39" s="130" t="s">
        <v>412</v>
      </c>
      <c r="G39" s="130" t="s">
        <v>366</v>
      </c>
      <c r="H39" s="136">
        <v>3120</v>
      </c>
      <c r="I39" s="136">
        <v>63</v>
      </c>
      <c r="J39" s="137">
        <v>196560</v>
      </c>
      <c r="K39" s="221"/>
    </row>
    <row r="40" spans="1:11" ht="21.95" customHeight="1">
      <c r="A40" s="225"/>
      <c r="B40" s="225"/>
      <c r="C40" s="225"/>
      <c r="D40" s="229"/>
      <c r="E40" s="226"/>
      <c r="F40" s="130" t="s">
        <v>413</v>
      </c>
      <c r="G40" s="130" t="s">
        <v>366</v>
      </c>
      <c r="H40" s="136">
        <v>3120</v>
      </c>
      <c r="I40" s="136">
        <v>50</v>
      </c>
      <c r="J40" s="137">
        <v>156000</v>
      </c>
      <c r="K40" s="221"/>
    </row>
    <row r="41" spans="1:11" ht="21.95" customHeight="1">
      <c r="A41" s="225"/>
      <c r="B41" s="225"/>
      <c r="C41" s="225"/>
      <c r="D41" s="229"/>
      <c r="E41" s="135" t="s">
        <v>369</v>
      </c>
      <c r="F41" s="135"/>
      <c r="G41" s="135"/>
      <c r="H41" s="145"/>
      <c r="I41" s="145"/>
      <c r="J41" s="128">
        <v>945360</v>
      </c>
      <c r="K41" s="221"/>
    </row>
    <row r="42" spans="1:11" ht="21.95" customHeight="1">
      <c r="A42" s="225"/>
      <c r="B42" s="225"/>
      <c r="C42" s="225"/>
      <c r="D42" s="229"/>
      <c r="E42" s="135" t="s">
        <v>370</v>
      </c>
      <c r="F42" s="135"/>
      <c r="G42" s="135"/>
      <c r="H42" s="145"/>
      <c r="I42" s="145"/>
      <c r="J42" s="128">
        <v>113443.2</v>
      </c>
      <c r="K42" s="221"/>
    </row>
    <row r="43" spans="1:11" ht="21.95" customHeight="1">
      <c r="A43" s="226"/>
      <c r="B43" s="226"/>
      <c r="C43" s="226"/>
      <c r="D43" s="230"/>
      <c r="E43" s="135" t="s">
        <v>371</v>
      </c>
      <c r="F43" s="135"/>
      <c r="G43" s="135"/>
      <c r="H43" s="145"/>
      <c r="I43" s="145"/>
      <c r="J43" s="128">
        <v>1058803.2</v>
      </c>
      <c r="K43" s="221"/>
    </row>
    <row r="44" spans="1:11" ht="21.95" customHeight="1">
      <c r="A44" s="225">
        <v>5</v>
      </c>
      <c r="B44" s="225" t="s">
        <v>414</v>
      </c>
      <c r="C44" s="225" t="s">
        <v>415</v>
      </c>
      <c r="D44" s="229" t="s">
        <v>365</v>
      </c>
      <c r="E44" s="224" t="s">
        <v>416</v>
      </c>
      <c r="F44" s="130" t="s">
        <v>417</v>
      </c>
      <c r="G44" s="130" t="s">
        <v>366</v>
      </c>
      <c r="H44" s="136">
        <v>1790</v>
      </c>
      <c r="I44" s="136">
        <v>50</v>
      </c>
      <c r="J44" s="137">
        <v>89500</v>
      </c>
      <c r="K44" s="221">
        <f>ROUND(J49*0.8,0)</f>
        <v>534021</v>
      </c>
    </row>
    <row r="45" spans="1:11" ht="21.95" customHeight="1">
      <c r="A45" s="225"/>
      <c r="B45" s="225"/>
      <c r="C45" s="225"/>
      <c r="D45" s="229"/>
      <c r="E45" s="226"/>
      <c r="F45" s="130" t="s">
        <v>418</v>
      </c>
      <c r="G45" s="130" t="s">
        <v>366</v>
      </c>
      <c r="H45" s="136">
        <v>1790</v>
      </c>
      <c r="I45" s="136">
        <v>268</v>
      </c>
      <c r="J45" s="137">
        <v>479720</v>
      </c>
      <c r="K45" s="221"/>
    </row>
    <row r="46" spans="1:11" ht="21.95" customHeight="1">
      <c r="A46" s="225"/>
      <c r="B46" s="225"/>
      <c r="C46" s="225"/>
      <c r="D46" s="229"/>
      <c r="E46" s="135" t="s">
        <v>369</v>
      </c>
      <c r="F46" s="130"/>
      <c r="G46" s="130"/>
      <c r="H46" s="136"/>
      <c r="I46" s="136"/>
      <c r="J46" s="128">
        <v>569220</v>
      </c>
      <c r="K46" s="221"/>
    </row>
    <row r="47" spans="1:11" ht="21.95" customHeight="1">
      <c r="A47" s="225"/>
      <c r="B47" s="225"/>
      <c r="C47" s="225"/>
      <c r="D47" s="229"/>
      <c r="E47" s="135" t="s">
        <v>370</v>
      </c>
      <c r="F47" s="130"/>
      <c r="G47" s="130"/>
      <c r="H47" s="136"/>
      <c r="I47" s="136"/>
      <c r="J47" s="128">
        <v>68306.399999999994</v>
      </c>
      <c r="K47" s="221"/>
    </row>
    <row r="48" spans="1:11" ht="21.95" customHeight="1">
      <c r="A48" s="225"/>
      <c r="B48" s="225"/>
      <c r="C48" s="225"/>
      <c r="D48" s="229"/>
      <c r="E48" s="138" t="s">
        <v>377</v>
      </c>
      <c r="F48" s="130"/>
      <c r="G48" s="130" t="s">
        <v>375</v>
      </c>
      <c r="H48" s="136">
        <v>1</v>
      </c>
      <c r="I48" s="147">
        <v>30000</v>
      </c>
      <c r="J48" s="139">
        <v>30000</v>
      </c>
      <c r="K48" s="221"/>
    </row>
    <row r="49" spans="1:11" ht="21.95" customHeight="1">
      <c r="A49" s="226"/>
      <c r="B49" s="226"/>
      <c r="C49" s="226"/>
      <c r="D49" s="230"/>
      <c r="E49" s="135" t="s">
        <v>371</v>
      </c>
      <c r="F49" s="130"/>
      <c r="G49" s="130"/>
      <c r="H49" s="136"/>
      <c r="I49" s="136"/>
      <c r="J49" s="128">
        <v>667526.40000000002</v>
      </c>
      <c r="K49" s="221"/>
    </row>
    <row r="50" spans="1:11" ht="21.95" customHeight="1">
      <c r="A50" s="225">
        <v>6</v>
      </c>
      <c r="B50" s="225" t="s">
        <v>419</v>
      </c>
      <c r="C50" s="225" t="s">
        <v>420</v>
      </c>
      <c r="D50" s="229" t="s">
        <v>365</v>
      </c>
      <c r="E50" s="229" t="s">
        <v>421</v>
      </c>
      <c r="F50" s="130" t="s">
        <v>422</v>
      </c>
      <c r="G50" s="130" t="s">
        <v>366</v>
      </c>
      <c r="H50" s="136">
        <v>1470</v>
      </c>
      <c r="I50" s="136">
        <v>210</v>
      </c>
      <c r="J50" s="137">
        <v>308700</v>
      </c>
      <c r="K50" s="221">
        <f>ROUND(J62*0.8,0)</f>
        <v>900625</v>
      </c>
    </row>
    <row r="51" spans="1:11" ht="21.95" customHeight="1">
      <c r="A51" s="225"/>
      <c r="B51" s="225"/>
      <c r="C51" s="225"/>
      <c r="D51" s="229"/>
      <c r="E51" s="229"/>
      <c r="F51" s="130" t="s">
        <v>423</v>
      </c>
      <c r="G51" s="130" t="s">
        <v>366</v>
      </c>
      <c r="H51" s="232">
        <v>1470</v>
      </c>
      <c r="I51" s="232">
        <v>221</v>
      </c>
      <c r="J51" s="234">
        <v>324870</v>
      </c>
      <c r="K51" s="221"/>
    </row>
    <row r="52" spans="1:11" ht="21.95" customHeight="1">
      <c r="A52" s="225"/>
      <c r="B52" s="225"/>
      <c r="C52" s="225"/>
      <c r="D52" s="229"/>
      <c r="E52" s="230"/>
      <c r="F52" s="130" t="s">
        <v>424</v>
      </c>
      <c r="G52" s="130" t="s">
        <v>366</v>
      </c>
      <c r="H52" s="233"/>
      <c r="I52" s="233"/>
      <c r="J52" s="235"/>
      <c r="K52" s="221"/>
    </row>
    <row r="53" spans="1:11" ht="21.95" customHeight="1">
      <c r="A53" s="225"/>
      <c r="B53" s="225"/>
      <c r="C53" s="225"/>
      <c r="D53" s="229"/>
      <c r="E53" s="229" t="s">
        <v>376</v>
      </c>
      <c r="F53" s="130" t="s">
        <v>422</v>
      </c>
      <c r="G53" s="130" t="s">
        <v>366</v>
      </c>
      <c r="H53" s="136">
        <v>380</v>
      </c>
      <c r="I53" s="136">
        <v>210</v>
      </c>
      <c r="J53" s="137">
        <v>79800</v>
      </c>
      <c r="K53" s="221"/>
    </row>
    <row r="54" spans="1:11" ht="21.95" customHeight="1">
      <c r="A54" s="225"/>
      <c r="B54" s="225"/>
      <c r="C54" s="225"/>
      <c r="D54" s="229"/>
      <c r="E54" s="229"/>
      <c r="F54" s="130" t="s">
        <v>423</v>
      </c>
      <c r="G54" s="130" t="s">
        <v>366</v>
      </c>
      <c r="H54" s="232">
        <v>380</v>
      </c>
      <c r="I54" s="232">
        <v>319</v>
      </c>
      <c r="J54" s="234">
        <v>121220</v>
      </c>
      <c r="K54" s="221"/>
    </row>
    <row r="55" spans="1:11" ht="21.95" customHeight="1">
      <c r="A55" s="225"/>
      <c r="B55" s="225"/>
      <c r="C55" s="225"/>
      <c r="D55" s="229"/>
      <c r="E55" s="229"/>
      <c r="F55" s="130" t="s">
        <v>425</v>
      </c>
      <c r="G55" s="130" t="s">
        <v>366</v>
      </c>
      <c r="H55" s="236"/>
      <c r="I55" s="236"/>
      <c r="J55" s="237"/>
      <c r="K55" s="221"/>
    </row>
    <row r="56" spans="1:11" ht="21.95" customHeight="1">
      <c r="A56" s="225"/>
      <c r="B56" s="225"/>
      <c r="C56" s="225"/>
      <c r="D56" s="229"/>
      <c r="E56" s="230"/>
      <c r="F56" s="130" t="s">
        <v>426</v>
      </c>
      <c r="G56" s="130" t="s">
        <v>366</v>
      </c>
      <c r="H56" s="233"/>
      <c r="I56" s="233"/>
      <c r="J56" s="235"/>
      <c r="K56" s="221"/>
    </row>
    <row r="57" spans="1:11" ht="21.95" customHeight="1">
      <c r="A57" s="225"/>
      <c r="B57" s="225"/>
      <c r="C57" s="225"/>
      <c r="D57" s="229"/>
      <c r="E57" s="224" t="s">
        <v>427</v>
      </c>
      <c r="F57" s="130" t="s">
        <v>428</v>
      </c>
      <c r="G57" s="130" t="s">
        <v>366</v>
      </c>
      <c r="H57" s="136">
        <v>450</v>
      </c>
      <c r="I57" s="136">
        <v>50</v>
      </c>
      <c r="J57" s="137">
        <v>22500</v>
      </c>
      <c r="K57" s="221"/>
    </row>
    <row r="58" spans="1:11" ht="21.95" customHeight="1">
      <c r="A58" s="225"/>
      <c r="B58" s="225"/>
      <c r="C58" s="225"/>
      <c r="D58" s="229"/>
      <c r="E58" s="230"/>
      <c r="F58" s="130" t="s">
        <v>429</v>
      </c>
      <c r="G58" s="130" t="s">
        <v>366</v>
      </c>
      <c r="H58" s="136">
        <v>450</v>
      </c>
      <c r="I58" s="136">
        <v>210</v>
      </c>
      <c r="J58" s="137">
        <v>94500</v>
      </c>
      <c r="K58" s="221"/>
    </row>
    <row r="59" spans="1:11" ht="21.95" customHeight="1">
      <c r="A59" s="225"/>
      <c r="B59" s="225"/>
      <c r="C59" s="225"/>
      <c r="D59" s="229"/>
      <c r="E59" s="135" t="s">
        <v>369</v>
      </c>
      <c r="F59" s="130"/>
      <c r="G59" s="130"/>
      <c r="H59" s="136"/>
      <c r="I59" s="136"/>
      <c r="J59" s="128">
        <v>951590</v>
      </c>
      <c r="K59" s="221"/>
    </row>
    <row r="60" spans="1:11" ht="21.95" customHeight="1">
      <c r="A60" s="225"/>
      <c r="B60" s="225"/>
      <c r="C60" s="225"/>
      <c r="D60" s="229"/>
      <c r="E60" s="135" t="s">
        <v>370</v>
      </c>
      <c r="F60" s="130"/>
      <c r="G60" s="130"/>
      <c r="H60" s="136"/>
      <c r="I60" s="136"/>
      <c r="J60" s="128">
        <v>114190.8</v>
      </c>
      <c r="K60" s="221"/>
    </row>
    <row r="61" spans="1:11" ht="21.95" customHeight="1">
      <c r="A61" s="225"/>
      <c r="B61" s="225"/>
      <c r="C61" s="225"/>
      <c r="D61" s="229"/>
      <c r="E61" s="138" t="s">
        <v>377</v>
      </c>
      <c r="F61" s="130"/>
      <c r="G61" s="130" t="s">
        <v>375</v>
      </c>
      <c r="H61" s="136">
        <v>2</v>
      </c>
      <c r="I61" s="136">
        <v>30000</v>
      </c>
      <c r="J61" s="139">
        <v>60000</v>
      </c>
      <c r="K61" s="221"/>
    </row>
    <row r="62" spans="1:11" ht="21.95" customHeight="1">
      <c r="A62" s="226"/>
      <c r="B62" s="226"/>
      <c r="C62" s="226"/>
      <c r="D62" s="230"/>
      <c r="E62" s="135" t="s">
        <v>371</v>
      </c>
      <c r="F62" s="130"/>
      <c r="G62" s="130"/>
      <c r="H62" s="136"/>
      <c r="I62" s="136"/>
      <c r="J62" s="128">
        <v>1125780.8</v>
      </c>
      <c r="K62" s="221"/>
    </row>
    <row r="63" spans="1:11" ht="21.95" customHeight="1">
      <c r="A63" s="224">
        <v>7</v>
      </c>
      <c r="B63" s="224" t="s">
        <v>336</v>
      </c>
      <c r="C63" s="224" t="s">
        <v>430</v>
      </c>
      <c r="D63" s="231" t="s">
        <v>372</v>
      </c>
      <c r="E63" s="224" t="s">
        <v>431</v>
      </c>
      <c r="F63" s="130" t="s">
        <v>432</v>
      </c>
      <c r="G63" s="144" t="s">
        <v>368</v>
      </c>
      <c r="H63" s="136">
        <v>200</v>
      </c>
      <c r="I63" s="136">
        <v>800</v>
      </c>
      <c r="J63" s="137">
        <v>160000</v>
      </c>
      <c r="K63" s="221">
        <f>ROUND(J70*0.8,0)</f>
        <v>163968</v>
      </c>
    </row>
    <row r="64" spans="1:11" ht="21.95" customHeight="1">
      <c r="A64" s="225"/>
      <c r="B64" s="225"/>
      <c r="C64" s="225"/>
      <c r="D64" s="229"/>
      <c r="E64" s="225"/>
      <c r="F64" s="130" t="s">
        <v>433</v>
      </c>
      <c r="G64" s="130" t="s">
        <v>375</v>
      </c>
      <c r="H64" s="136">
        <v>1</v>
      </c>
      <c r="I64" s="136">
        <v>5000</v>
      </c>
      <c r="J64" s="137">
        <v>5000</v>
      </c>
      <c r="K64" s="221"/>
    </row>
    <row r="65" spans="1:11" ht="21.95" customHeight="1">
      <c r="A65" s="225"/>
      <c r="B65" s="225"/>
      <c r="C65" s="225"/>
      <c r="D65" s="229"/>
      <c r="E65" s="225"/>
      <c r="F65" s="130" t="s">
        <v>434</v>
      </c>
      <c r="G65" s="144" t="s">
        <v>368</v>
      </c>
      <c r="H65" s="136">
        <v>650</v>
      </c>
      <c r="I65" s="136">
        <v>20</v>
      </c>
      <c r="J65" s="137">
        <v>13000</v>
      </c>
      <c r="K65" s="221"/>
    </row>
    <row r="66" spans="1:11" ht="21.95" customHeight="1">
      <c r="A66" s="225"/>
      <c r="B66" s="225"/>
      <c r="C66" s="225"/>
      <c r="D66" s="229"/>
      <c r="E66" s="225"/>
      <c r="F66" s="130" t="s">
        <v>435</v>
      </c>
      <c r="G66" s="130" t="s">
        <v>375</v>
      </c>
      <c r="H66" s="136">
        <v>0</v>
      </c>
      <c r="I66" s="136">
        <v>200000</v>
      </c>
      <c r="J66" s="137">
        <v>0</v>
      </c>
      <c r="K66" s="221"/>
    </row>
    <row r="67" spans="1:11" ht="21.95" customHeight="1">
      <c r="A67" s="225"/>
      <c r="B67" s="225"/>
      <c r="C67" s="225"/>
      <c r="D67" s="229"/>
      <c r="E67" s="226"/>
      <c r="F67" s="130" t="s">
        <v>436</v>
      </c>
      <c r="G67" s="130" t="s">
        <v>375</v>
      </c>
      <c r="H67" s="136">
        <v>1</v>
      </c>
      <c r="I67" s="136">
        <v>5000</v>
      </c>
      <c r="J67" s="137">
        <v>5000</v>
      </c>
      <c r="K67" s="221"/>
    </row>
    <row r="68" spans="1:11" ht="21.95" customHeight="1">
      <c r="A68" s="225"/>
      <c r="B68" s="225"/>
      <c r="C68" s="225"/>
      <c r="D68" s="229"/>
      <c r="E68" s="135" t="s">
        <v>369</v>
      </c>
      <c r="F68" s="130"/>
      <c r="G68" s="130"/>
      <c r="H68" s="136"/>
      <c r="I68" s="136"/>
      <c r="J68" s="128">
        <v>183000</v>
      </c>
      <c r="K68" s="221"/>
    </row>
    <row r="69" spans="1:11" ht="21.95" customHeight="1">
      <c r="A69" s="225"/>
      <c r="B69" s="225"/>
      <c r="C69" s="225"/>
      <c r="D69" s="229"/>
      <c r="E69" s="135" t="s">
        <v>370</v>
      </c>
      <c r="F69" s="130"/>
      <c r="G69" s="130"/>
      <c r="H69" s="136"/>
      <c r="I69" s="136"/>
      <c r="J69" s="128">
        <v>21960</v>
      </c>
      <c r="K69" s="221"/>
    </row>
    <row r="70" spans="1:11" ht="21.95" customHeight="1">
      <c r="A70" s="226"/>
      <c r="B70" s="226"/>
      <c r="C70" s="226"/>
      <c r="D70" s="230"/>
      <c r="E70" s="135" t="s">
        <v>371</v>
      </c>
      <c r="F70" s="130"/>
      <c r="G70" s="130"/>
      <c r="H70" s="136"/>
      <c r="I70" s="136"/>
      <c r="J70" s="128">
        <v>204960</v>
      </c>
      <c r="K70" s="221"/>
    </row>
    <row r="71" spans="1:11" ht="21.95" customHeight="1">
      <c r="A71" s="224">
        <v>8</v>
      </c>
      <c r="B71" s="224" t="s">
        <v>339</v>
      </c>
      <c r="C71" s="224" t="s">
        <v>437</v>
      </c>
      <c r="D71" s="227" t="s">
        <v>372</v>
      </c>
      <c r="E71" s="224" t="s">
        <v>438</v>
      </c>
      <c r="F71" s="146" t="s">
        <v>439</v>
      </c>
      <c r="G71" s="130" t="s">
        <v>366</v>
      </c>
      <c r="H71" s="134">
        <v>1000</v>
      </c>
      <c r="I71" s="134">
        <v>168</v>
      </c>
      <c r="J71" s="133">
        <v>168000</v>
      </c>
      <c r="K71" s="221">
        <f>ROUND(J78*0.8,0)</f>
        <v>395648</v>
      </c>
    </row>
    <row r="72" spans="1:11" ht="21.95" customHeight="1">
      <c r="A72" s="225"/>
      <c r="B72" s="225"/>
      <c r="C72" s="225"/>
      <c r="D72" s="228"/>
      <c r="E72" s="225"/>
      <c r="F72" s="146" t="s">
        <v>440</v>
      </c>
      <c r="G72" s="130" t="s">
        <v>366</v>
      </c>
      <c r="H72" s="134">
        <v>1000</v>
      </c>
      <c r="I72" s="134">
        <v>60</v>
      </c>
      <c r="J72" s="133">
        <v>60000</v>
      </c>
      <c r="K72" s="221"/>
    </row>
    <row r="73" spans="1:11" ht="21.95" customHeight="1">
      <c r="A73" s="225"/>
      <c r="B73" s="225"/>
      <c r="C73" s="225"/>
      <c r="D73" s="229"/>
      <c r="E73" s="225"/>
      <c r="F73" s="130" t="s">
        <v>441</v>
      </c>
      <c r="G73" s="130" t="s">
        <v>442</v>
      </c>
      <c r="H73" s="134">
        <v>400</v>
      </c>
      <c r="I73" s="134">
        <v>250</v>
      </c>
      <c r="J73" s="133">
        <v>100000</v>
      </c>
      <c r="K73" s="221"/>
    </row>
    <row r="74" spans="1:11" ht="21.95" customHeight="1">
      <c r="A74" s="225"/>
      <c r="B74" s="225"/>
      <c r="C74" s="225"/>
      <c r="D74" s="229"/>
      <c r="E74" s="226"/>
      <c r="F74" s="146" t="s">
        <v>443</v>
      </c>
      <c r="G74" s="130" t="s">
        <v>366</v>
      </c>
      <c r="H74" s="134">
        <v>1500</v>
      </c>
      <c r="I74" s="134">
        <v>50</v>
      </c>
      <c r="J74" s="133">
        <v>75000</v>
      </c>
      <c r="K74" s="221"/>
    </row>
    <row r="75" spans="1:11" ht="21.95" customHeight="1">
      <c r="A75" s="225"/>
      <c r="B75" s="225"/>
      <c r="C75" s="225"/>
      <c r="D75" s="229"/>
      <c r="E75" s="135" t="s">
        <v>369</v>
      </c>
      <c r="F75" s="135"/>
      <c r="G75" s="135"/>
      <c r="H75" s="145"/>
      <c r="I75" s="145"/>
      <c r="J75" s="128">
        <v>403000</v>
      </c>
      <c r="K75" s="221"/>
    </row>
    <row r="76" spans="1:11" ht="21.95" customHeight="1">
      <c r="A76" s="225"/>
      <c r="B76" s="225"/>
      <c r="C76" s="225"/>
      <c r="D76" s="229"/>
      <c r="E76" s="135" t="s">
        <v>370</v>
      </c>
      <c r="F76" s="135"/>
      <c r="G76" s="135"/>
      <c r="H76" s="145"/>
      <c r="I76" s="145"/>
      <c r="J76" s="128">
        <v>48360</v>
      </c>
      <c r="K76" s="221"/>
    </row>
    <row r="77" spans="1:11" ht="21.95" customHeight="1">
      <c r="A77" s="225"/>
      <c r="B77" s="225"/>
      <c r="C77" s="225"/>
      <c r="D77" s="229"/>
      <c r="E77" s="138" t="s">
        <v>373</v>
      </c>
      <c r="F77" s="130"/>
      <c r="G77" s="130" t="s">
        <v>374</v>
      </c>
      <c r="H77" s="136">
        <v>24</v>
      </c>
      <c r="I77" s="136">
        <v>1800</v>
      </c>
      <c r="J77" s="139">
        <v>43200</v>
      </c>
      <c r="K77" s="221"/>
    </row>
    <row r="78" spans="1:11" ht="21.95" customHeight="1">
      <c r="A78" s="226"/>
      <c r="B78" s="226"/>
      <c r="C78" s="226"/>
      <c r="D78" s="230"/>
      <c r="E78" s="135" t="s">
        <v>371</v>
      </c>
      <c r="F78" s="130"/>
      <c r="G78" s="130"/>
      <c r="H78" s="136"/>
      <c r="I78" s="136"/>
      <c r="J78" s="128">
        <v>494560</v>
      </c>
      <c r="K78" s="221"/>
    </row>
    <row r="79" spans="1:11" ht="21.95" customHeight="1">
      <c r="A79" s="140"/>
      <c r="B79" s="140"/>
      <c r="C79" s="140"/>
      <c r="D79" s="140"/>
      <c r="E79" s="125" t="s">
        <v>7</v>
      </c>
      <c r="F79" s="125"/>
      <c r="G79" s="126"/>
      <c r="H79" s="126"/>
      <c r="I79" s="126"/>
      <c r="J79" s="141">
        <v>5918589.4400000004</v>
      </c>
      <c r="K79" s="158">
        <f>SUM(K3:K78)</f>
        <v>4734872</v>
      </c>
    </row>
  </sheetData>
  <mergeCells count="61">
    <mergeCell ref="A3:A9"/>
    <mergeCell ref="B3:B9"/>
    <mergeCell ref="C3:C9"/>
    <mergeCell ref="D3:D9"/>
    <mergeCell ref="E3:E5"/>
    <mergeCell ref="A10:A18"/>
    <mergeCell ref="B10:B18"/>
    <mergeCell ref="C10:C18"/>
    <mergeCell ref="D10:D18"/>
    <mergeCell ref="E10:E15"/>
    <mergeCell ref="E22:E25"/>
    <mergeCell ref="E26:E29"/>
    <mergeCell ref="E30:E31"/>
    <mergeCell ref="A36:A43"/>
    <mergeCell ref="B36:B43"/>
    <mergeCell ref="C36:C43"/>
    <mergeCell ref="D36:D43"/>
    <mergeCell ref="E36:E40"/>
    <mergeCell ref="A19:A35"/>
    <mergeCell ref="B19:B35"/>
    <mergeCell ref="C19:C35"/>
    <mergeCell ref="D19:D35"/>
    <mergeCell ref="E19:E21"/>
    <mergeCell ref="A50:A62"/>
    <mergeCell ref="B50:B62"/>
    <mergeCell ref="C50:C62"/>
    <mergeCell ref="D50:D62"/>
    <mergeCell ref="E50:E52"/>
    <mergeCell ref="A44:A49"/>
    <mergeCell ref="B44:B49"/>
    <mergeCell ref="C44:C49"/>
    <mergeCell ref="D44:D49"/>
    <mergeCell ref="E44:E45"/>
    <mergeCell ref="H51:H52"/>
    <mergeCell ref="I51:I52"/>
    <mergeCell ref="J51:J52"/>
    <mergeCell ref="E53:E56"/>
    <mergeCell ref="H54:H56"/>
    <mergeCell ref="I54:I56"/>
    <mergeCell ref="J54:J56"/>
    <mergeCell ref="A63:A70"/>
    <mergeCell ref="B63:B70"/>
    <mergeCell ref="C63:C70"/>
    <mergeCell ref="D63:D70"/>
    <mergeCell ref="E63:E67"/>
    <mergeCell ref="K63:K70"/>
    <mergeCell ref="K71:K78"/>
    <mergeCell ref="A1:K1"/>
    <mergeCell ref="K3:K9"/>
    <mergeCell ref="K10:K18"/>
    <mergeCell ref="K19:K35"/>
    <mergeCell ref="K36:K43"/>
    <mergeCell ref="K44:K49"/>
    <mergeCell ref="K50:K62"/>
    <mergeCell ref="A71:A78"/>
    <mergeCell ref="B71:B78"/>
    <mergeCell ref="C71:C78"/>
    <mergeCell ref="D71:D78"/>
    <mergeCell ref="E71:E72"/>
    <mergeCell ref="E73:E74"/>
    <mergeCell ref="E57:E5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topLeftCell="A5" workbookViewId="0">
      <selection activeCell="A13" sqref="A13:XFD21"/>
    </sheetView>
  </sheetViews>
  <sheetFormatPr defaultColWidth="9" defaultRowHeight="39.950000000000003" customHeight="1"/>
  <cols>
    <col min="1" max="1" width="8.625" style="116" customWidth="1"/>
    <col min="2" max="2" width="35" style="116" customWidth="1"/>
    <col min="3" max="3" width="41" style="116" customWidth="1"/>
    <col min="4" max="4" width="13.125" style="118" customWidth="1"/>
    <col min="5" max="5" width="12.625" style="116" customWidth="1"/>
    <col min="6" max="6" width="13.375" style="116" customWidth="1"/>
    <col min="7" max="7" width="12.625" style="116" customWidth="1"/>
    <col min="8" max="8" width="11.875" style="116" customWidth="1"/>
    <col min="9" max="9" width="13.625" style="116" customWidth="1"/>
    <col min="10" max="10" width="11.875" style="118" customWidth="1"/>
    <col min="11" max="11" width="14" style="119" customWidth="1"/>
    <col min="12" max="12" width="9" style="116"/>
    <col min="13" max="13" width="13.5" style="116" customWidth="1"/>
    <col min="14" max="14" width="14.375" style="116" customWidth="1"/>
    <col min="15" max="15" width="13.5" style="116" customWidth="1"/>
    <col min="16" max="16" width="15.25" style="116" customWidth="1"/>
    <col min="17" max="17" width="13.875" style="116" customWidth="1"/>
    <col min="18" max="16384" width="9" style="116"/>
  </cols>
  <sheetData>
    <row r="1" spans="1:11" s="115" customFormat="1" ht="25.5">
      <c r="A1" s="242" t="s">
        <v>331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22.5">
      <c r="A2" s="163" t="s">
        <v>455</v>
      </c>
      <c r="B2" s="163" t="s">
        <v>221</v>
      </c>
      <c r="C2" s="163" t="s">
        <v>4</v>
      </c>
      <c r="D2" s="164" t="s">
        <v>456</v>
      </c>
      <c r="E2" s="164" t="s">
        <v>457</v>
      </c>
      <c r="F2" s="164" t="s">
        <v>458</v>
      </c>
      <c r="G2" s="164" t="s">
        <v>459</v>
      </c>
      <c r="H2" s="164" t="s">
        <v>460</v>
      </c>
      <c r="I2" s="164" t="s">
        <v>461</v>
      </c>
      <c r="J2" s="164" t="s">
        <v>462</v>
      </c>
      <c r="K2" s="164" t="s">
        <v>463</v>
      </c>
    </row>
    <row r="3" spans="1:11" s="117" customFormat="1" ht="18.75">
      <c r="A3" s="163" t="s">
        <v>464</v>
      </c>
      <c r="B3" s="163" t="s">
        <v>332</v>
      </c>
      <c r="C3" s="163" t="s">
        <v>333</v>
      </c>
      <c r="D3" s="167">
        <v>68838</v>
      </c>
      <c r="E3" s="167">
        <v>59600</v>
      </c>
      <c r="F3" s="168">
        <v>53190</v>
      </c>
      <c r="G3" s="168">
        <v>52740</v>
      </c>
      <c r="H3" s="168">
        <v>3913</v>
      </c>
      <c r="I3" s="167">
        <f t="shared" ref="I3:I18" si="0">G3+H3</f>
        <v>56653</v>
      </c>
      <c r="J3" s="167">
        <v>68838</v>
      </c>
      <c r="K3" s="167">
        <f t="shared" ref="K3:K16" si="1">I3-J3</f>
        <v>-12185</v>
      </c>
    </row>
    <row r="4" spans="1:11" s="117" customFormat="1" ht="18.75">
      <c r="A4" s="163" t="s">
        <v>464</v>
      </c>
      <c r="B4" s="163" t="s">
        <v>334</v>
      </c>
      <c r="C4" s="163" t="s">
        <v>335</v>
      </c>
      <c r="D4" s="165">
        <v>170363</v>
      </c>
      <c r="E4" s="165">
        <v>147500</v>
      </c>
      <c r="F4" s="169">
        <v>132901</v>
      </c>
      <c r="G4" s="169">
        <v>132357</v>
      </c>
      <c r="H4" s="169">
        <v>8116</v>
      </c>
      <c r="I4" s="165">
        <f t="shared" si="0"/>
        <v>140473</v>
      </c>
      <c r="J4" s="165">
        <v>170363</v>
      </c>
      <c r="K4" s="165">
        <f t="shared" si="1"/>
        <v>-29890</v>
      </c>
    </row>
    <row r="5" spans="1:11" s="117" customFormat="1" ht="18.75">
      <c r="A5" s="163" t="s">
        <v>464</v>
      </c>
      <c r="B5" s="163" t="s">
        <v>336</v>
      </c>
      <c r="C5" s="163" t="s">
        <v>337</v>
      </c>
      <c r="D5" s="165">
        <v>2481484</v>
      </c>
      <c r="E5" s="165">
        <v>2110105</v>
      </c>
      <c r="F5" s="169">
        <v>2126226</v>
      </c>
      <c r="G5" s="169">
        <v>2109892.1</v>
      </c>
      <c r="H5" s="170">
        <v>196380</v>
      </c>
      <c r="I5" s="165">
        <f t="shared" si="0"/>
        <v>2306272.1</v>
      </c>
      <c r="J5" s="165">
        <v>2481484</v>
      </c>
      <c r="K5" s="165">
        <f t="shared" si="1"/>
        <v>-175211.89999999991</v>
      </c>
    </row>
    <row r="6" spans="1:11" s="117" customFormat="1" ht="18.75">
      <c r="A6" s="163" t="s">
        <v>464</v>
      </c>
      <c r="B6" s="163" t="s">
        <v>198</v>
      </c>
      <c r="C6" s="163" t="s">
        <v>338</v>
      </c>
      <c r="D6" s="165">
        <v>815430</v>
      </c>
      <c r="E6" s="165">
        <v>706000</v>
      </c>
      <c r="F6" s="169">
        <v>685564</v>
      </c>
      <c r="G6" s="169">
        <v>680754</v>
      </c>
      <c r="H6" s="170">
        <v>65300</v>
      </c>
      <c r="I6" s="165">
        <f t="shared" si="0"/>
        <v>746054</v>
      </c>
      <c r="J6" s="165">
        <v>750864</v>
      </c>
      <c r="K6" s="165">
        <f t="shared" si="1"/>
        <v>-4810</v>
      </c>
    </row>
    <row r="7" spans="1:11" s="117" customFormat="1" ht="18.75">
      <c r="A7" s="163" t="s">
        <v>464</v>
      </c>
      <c r="B7" s="163" t="s">
        <v>339</v>
      </c>
      <c r="C7" s="163" t="s">
        <v>339</v>
      </c>
      <c r="D7" s="165">
        <v>918341</v>
      </c>
      <c r="E7" s="165">
        <v>795100</v>
      </c>
      <c r="F7" s="169">
        <v>706500</v>
      </c>
      <c r="G7" s="169">
        <v>706105</v>
      </c>
      <c r="H7" s="169">
        <v>71600</v>
      </c>
      <c r="I7" s="165">
        <f t="shared" si="0"/>
        <v>777705</v>
      </c>
      <c r="J7" s="170">
        <v>734673</v>
      </c>
      <c r="K7" s="165">
        <f t="shared" si="1"/>
        <v>43032</v>
      </c>
    </row>
    <row r="8" spans="1:11" s="117" customFormat="1" ht="18.75">
      <c r="A8" s="163" t="s">
        <v>464</v>
      </c>
      <c r="B8" s="163" t="s">
        <v>199</v>
      </c>
      <c r="C8" s="163" t="s">
        <v>340</v>
      </c>
      <c r="D8" s="165">
        <v>2061528</v>
      </c>
      <c r="E8" s="165">
        <v>1757600</v>
      </c>
      <c r="F8" s="169">
        <v>1680873</v>
      </c>
      <c r="G8" s="169">
        <v>1680120</v>
      </c>
      <c r="H8" s="169">
        <v>188587</v>
      </c>
      <c r="I8" s="165">
        <f t="shared" si="0"/>
        <v>1868707</v>
      </c>
      <c r="J8" s="170">
        <v>1869460</v>
      </c>
      <c r="K8" s="165">
        <f t="shared" si="1"/>
        <v>-753</v>
      </c>
    </row>
    <row r="9" spans="1:11" s="117" customFormat="1" ht="18.75">
      <c r="A9" s="163" t="s">
        <v>464</v>
      </c>
      <c r="B9" s="163" t="s">
        <v>336</v>
      </c>
      <c r="C9" s="163" t="s">
        <v>341</v>
      </c>
      <c r="D9" s="165">
        <v>305032</v>
      </c>
      <c r="E9" s="165">
        <v>241370</v>
      </c>
      <c r="F9" s="169">
        <v>215749</v>
      </c>
      <c r="G9" s="169">
        <v>214220.46</v>
      </c>
      <c r="H9" s="169">
        <v>33706</v>
      </c>
      <c r="I9" s="165">
        <f t="shared" si="0"/>
        <v>247926.46</v>
      </c>
      <c r="J9" s="170">
        <v>244026</v>
      </c>
      <c r="K9" s="165">
        <f t="shared" si="1"/>
        <v>3900.4599999999919</v>
      </c>
    </row>
    <row r="10" spans="1:11" s="117" customFormat="1" ht="18.75">
      <c r="A10" s="163" t="s">
        <v>464</v>
      </c>
      <c r="B10" s="163" t="s">
        <v>197</v>
      </c>
      <c r="C10" s="163" t="s">
        <v>342</v>
      </c>
      <c r="D10" s="165">
        <v>1370460</v>
      </c>
      <c r="E10" s="165">
        <v>1132000</v>
      </c>
      <c r="F10" s="169">
        <v>1058218</v>
      </c>
      <c r="G10" s="169">
        <v>1056282.3500000001</v>
      </c>
      <c r="H10" s="170">
        <v>163200</v>
      </c>
      <c r="I10" s="165">
        <f t="shared" si="0"/>
        <v>1219482.3500000001</v>
      </c>
      <c r="J10" s="170">
        <v>1221418</v>
      </c>
      <c r="K10" s="165">
        <f t="shared" si="1"/>
        <v>-1935.6499999999069</v>
      </c>
    </row>
    <row r="11" spans="1:11" s="117" customFormat="1" ht="18.75">
      <c r="A11" s="163" t="s">
        <v>464</v>
      </c>
      <c r="B11" s="163" t="s">
        <v>343</v>
      </c>
      <c r="C11" s="163" t="s">
        <v>344</v>
      </c>
      <c r="D11" s="165">
        <v>435435</v>
      </c>
      <c r="E11" s="165">
        <v>377000</v>
      </c>
      <c r="F11" s="169">
        <v>323581</v>
      </c>
      <c r="G11" s="169">
        <v>322264</v>
      </c>
      <c r="H11" s="170">
        <v>33128</v>
      </c>
      <c r="I11" s="165">
        <f t="shared" si="0"/>
        <v>355392</v>
      </c>
      <c r="J11" s="170">
        <v>348348</v>
      </c>
      <c r="K11" s="165">
        <f t="shared" si="1"/>
        <v>7044</v>
      </c>
    </row>
    <row r="12" spans="1:11" s="117" customFormat="1" ht="18.75">
      <c r="A12" s="163" t="s">
        <v>464</v>
      </c>
      <c r="B12" s="163" t="s">
        <v>345</v>
      </c>
      <c r="C12" s="163" t="s">
        <v>346</v>
      </c>
      <c r="D12" s="165">
        <v>367694</v>
      </c>
      <c r="E12" s="165">
        <v>318350</v>
      </c>
      <c r="F12" s="169">
        <v>268710</v>
      </c>
      <c r="G12" s="169">
        <v>268148</v>
      </c>
      <c r="H12" s="170">
        <v>14936</v>
      </c>
      <c r="I12" s="165">
        <f t="shared" si="0"/>
        <v>283084</v>
      </c>
      <c r="J12" s="170">
        <v>294155</v>
      </c>
      <c r="K12" s="165">
        <f t="shared" si="1"/>
        <v>-11071</v>
      </c>
    </row>
    <row r="13" spans="1:11" s="117" customFormat="1" ht="18.75">
      <c r="A13" s="163" t="s">
        <v>464</v>
      </c>
      <c r="B13" s="163" t="s">
        <v>347</v>
      </c>
      <c r="C13" s="163" t="s">
        <v>348</v>
      </c>
      <c r="D13" s="165">
        <v>100707.64</v>
      </c>
      <c r="E13" s="165">
        <v>91552.4</v>
      </c>
      <c r="F13" s="171">
        <v>91552.4</v>
      </c>
      <c r="G13" s="169">
        <v>85282.01</v>
      </c>
      <c r="H13" s="169">
        <v>9155.24</v>
      </c>
      <c r="I13" s="165">
        <f t="shared" si="0"/>
        <v>94437.25</v>
      </c>
      <c r="J13" s="170">
        <v>80566</v>
      </c>
      <c r="K13" s="165">
        <f t="shared" si="1"/>
        <v>13871.25</v>
      </c>
    </row>
    <row r="14" spans="1:11" s="117" customFormat="1" ht="18.75">
      <c r="A14" s="163" t="s">
        <v>464</v>
      </c>
      <c r="B14" s="172" t="s">
        <v>199</v>
      </c>
      <c r="C14" s="172" t="s">
        <v>349</v>
      </c>
      <c r="D14" s="173">
        <v>3097417.93</v>
      </c>
      <c r="E14" s="173">
        <v>2815834.48</v>
      </c>
      <c r="F14" s="174">
        <v>2561874.2000000002</v>
      </c>
      <c r="G14" s="175">
        <v>2542436.48</v>
      </c>
      <c r="H14" s="175">
        <v>281583.45</v>
      </c>
      <c r="I14" s="165">
        <f t="shared" si="0"/>
        <v>2824019.93</v>
      </c>
      <c r="J14" s="173">
        <v>2978524.2</v>
      </c>
      <c r="K14" s="165">
        <f t="shared" si="1"/>
        <v>-154504.27000000002</v>
      </c>
    </row>
    <row r="15" spans="1:11" s="117" customFormat="1" ht="18.75">
      <c r="A15" s="163" t="s">
        <v>464</v>
      </c>
      <c r="B15" s="163" t="s">
        <v>350</v>
      </c>
      <c r="C15" s="163" t="s">
        <v>351</v>
      </c>
      <c r="D15" s="165">
        <v>634450</v>
      </c>
      <c r="E15" s="165">
        <v>549500</v>
      </c>
      <c r="F15" s="169">
        <v>464362</v>
      </c>
      <c r="G15" s="169">
        <v>464362</v>
      </c>
      <c r="H15" s="169">
        <v>84950</v>
      </c>
      <c r="I15" s="165">
        <f t="shared" si="0"/>
        <v>549312</v>
      </c>
      <c r="J15" s="170">
        <v>507560</v>
      </c>
      <c r="K15" s="165">
        <f t="shared" si="1"/>
        <v>41752</v>
      </c>
    </row>
    <row r="16" spans="1:11" s="117" customFormat="1" ht="18.75">
      <c r="A16" s="163" t="s">
        <v>464</v>
      </c>
      <c r="B16" s="163" t="s">
        <v>200</v>
      </c>
      <c r="C16" s="163" t="s">
        <v>352</v>
      </c>
      <c r="D16" s="165">
        <v>987200</v>
      </c>
      <c r="E16" s="165">
        <v>899000</v>
      </c>
      <c r="F16" s="169">
        <v>788833</v>
      </c>
      <c r="G16" s="169">
        <v>781968</v>
      </c>
      <c r="H16" s="169">
        <v>88200</v>
      </c>
      <c r="I16" s="165">
        <f t="shared" si="0"/>
        <v>870168</v>
      </c>
      <c r="J16" s="170">
        <v>789760</v>
      </c>
      <c r="K16" s="165">
        <f t="shared" si="1"/>
        <v>80408</v>
      </c>
    </row>
    <row r="17" spans="1:11" s="117" customFormat="1" ht="18.75">
      <c r="A17" s="163" t="s">
        <v>464</v>
      </c>
      <c r="B17" s="163" t="s">
        <v>465</v>
      </c>
      <c r="C17" s="163" t="s">
        <v>353</v>
      </c>
      <c r="D17" s="165">
        <v>64501</v>
      </c>
      <c r="E17" s="165">
        <v>55845</v>
      </c>
      <c r="F17" s="170">
        <v>49674</v>
      </c>
      <c r="G17" s="170">
        <v>49326.57</v>
      </c>
      <c r="H17" s="170">
        <v>5585</v>
      </c>
      <c r="I17" s="165">
        <f t="shared" si="0"/>
        <v>54911.57</v>
      </c>
      <c r="J17" s="170">
        <v>64501</v>
      </c>
      <c r="K17" s="165">
        <v>-9589.43</v>
      </c>
    </row>
    <row r="18" spans="1:11" s="117" customFormat="1" ht="18.75">
      <c r="A18" s="163" t="s">
        <v>464</v>
      </c>
      <c r="B18" s="163" t="s">
        <v>466</v>
      </c>
      <c r="C18" s="163" t="s">
        <v>354</v>
      </c>
      <c r="D18" s="165">
        <v>494227</v>
      </c>
      <c r="E18" s="165">
        <v>427902</v>
      </c>
      <c r="F18" s="170">
        <v>381122</v>
      </c>
      <c r="G18" s="170">
        <v>378318.49</v>
      </c>
      <c r="H18" s="170">
        <v>42790</v>
      </c>
      <c r="I18" s="165">
        <f t="shared" si="0"/>
        <v>421108.49</v>
      </c>
      <c r="J18" s="170">
        <v>494227</v>
      </c>
      <c r="K18" s="165">
        <v>-73118.509999999995</v>
      </c>
    </row>
    <row r="19" spans="1:11" s="117" customFormat="1" ht="18.75">
      <c r="A19" s="166" t="s">
        <v>215</v>
      </c>
      <c r="B19" s="163"/>
      <c r="C19" s="163"/>
      <c r="D19" s="165">
        <f t="shared" ref="D19:K19" si="2">SUBTOTAL(9,D3:D18)</f>
        <v>14373108.57</v>
      </c>
      <c r="E19" s="165">
        <f t="shared" si="2"/>
        <v>12484258.880000001</v>
      </c>
      <c r="F19" s="170">
        <f t="shared" si="2"/>
        <v>11588929.600000001</v>
      </c>
      <c r="G19" s="170">
        <f t="shared" si="2"/>
        <v>11524576.460000001</v>
      </c>
      <c r="H19" s="170">
        <f t="shared" si="2"/>
        <v>1291129.69</v>
      </c>
      <c r="I19" s="165">
        <f t="shared" si="2"/>
        <v>12815706.15</v>
      </c>
      <c r="J19" s="170">
        <f t="shared" si="2"/>
        <v>13098767.199999999</v>
      </c>
      <c r="K19" s="165">
        <f t="shared" si="2"/>
        <v>-283061.04999999987</v>
      </c>
    </row>
  </sheetData>
  <mergeCells count="1">
    <mergeCell ref="A1:K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workbookViewId="0">
      <pane xSplit="4" ySplit="2" topLeftCell="E21" activePane="bottomRight" state="frozen"/>
      <selection activeCell="D2" sqref="D2:K2"/>
      <selection pane="topRight" activeCell="D2" sqref="D2:K2"/>
      <selection pane="bottomLeft" activeCell="D2" sqref="D2:K2"/>
      <selection pane="bottomRight" activeCell="D2" sqref="D2:K2"/>
    </sheetView>
  </sheetViews>
  <sheetFormatPr defaultRowHeight="11.25"/>
  <cols>
    <col min="1" max="1" width="4.625" style="30" customWidth="1"/>
    <col min="2" max="2" width="15.5" style="6" customWidth="1"/>
    <col min="3" max="3" width="5.875" style="6" customWidth="1"/>
    <col min="4" max="4" width="9" style="31"/>
    <col min="5" max="5" width="11.5" style="6" customWidth="1"/>
    <col min="6" max="6" width="12.375" style="6" customWidth="1"/>
    <col min="7" max="7" width="11.375" style="6" customWidth="1"/>
    <col min="8" max="8" width="11.875" style="6" customWidth="1"/>
    <col min="9" max="9" width="10.5" style="6" customWidth="1"/>
    <col min="10" max="10" width="12" style="6" customWidth="1"/>
    <col min="11" max="11" width="11.25" style="6" customWidth="1"/>
    <col min="12" max="12" width="11.125" style="6" customWidth="1"/>
    <col min="13" max="13" width="12.625" style="6" customWidth="1"/>
    <col min="14" max="14" width="11.5" style="6" customWidth="1"/>
    <col min="15" max="15" width="10.375" style="6" customWidth="1"/>
    <col min="16" max="16" width="11.75" style="6" customWidth="1"/>
    <col min="17" max="17" width="13.125" style="6" customWidth="1"/>
    <col min="18" max="19" width="12" style="6" customWidth="1"/>
    <col min="20" max="20" width="12.75" style="6" customWidth="1"/>
    <col min="21" max="16384" width="9" style="6"/>
  </cols>
  <sheetData>
    <row r="1" spans="1:21" ht="25.5">
      <c r="A1" s="187" t="s">
        <v>330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23.1" customHeight="1">
      <c r="A2" s="15" t="s">
        <v>3</v>
      </c>
      <c r="B2" s="15" t="s">
        <v>4</v>
      </c>
      <c r="C2" s="15" t="s">
        <v>5</v>
      </c>
      <c r="D2" s="16" t="s">
        <v>6</v>
      </c>
      <c r="E2" s="16" t="s">
        <v>176</v>
      </c>
      <c r="F2" s="16" t="s">
        <v>177</v>
      </c>
      <c r="G2" s="16" t="s">
        <v>178</v>
      </c>
      <c r="H2" s="16" t="s">
        <v>179</v>
      </c>
      <c r="I2" s="16" t="s">
        <v>180</v>
      </c>
      <c r="J2" s="16" t="s">
        <v>181</v>
      </c>
      <c r="K2" s="16" t="s">
        <v>182</v>
      </c>
      <c r="L2" s="16" t="s">
        <v>183</v>
      </c>
      <c r="M2" s="16" t="s">
        <v>184</v>
      </c>
      <c r="N2" s="16" t="s">
        <v>185</v>
      </c>
      <c r="O2" s="16" t="s">
        <v>186</v>
      </c>
      <c r="P2" s="16" t="s">
        <v>187</v>
      </c>
      <c r="Q2" s="16" t="s">
        <v>188</v>
      </c>
      <c r="R2" s="16" t="s">
        <v>189</v>
      </c>
      <c r="S2" s="16" t="s">
        <v>190</v>
      </c>
      <c r="T2" s="16" t="s">
        <v>7</v>
      </c>
      <c r="U2" s="17" t="s">
        <v>8</v>
      </c>
    </row>
    <row r="3" spans="1:21" ht="23.1" customHeight="1">
      <c r="A3" s="1" t="s">
        <v>9</v>
      </c>
      <c r="B3" s="7" t="s">
        <v>10</v>
      </c>
      <c r="C3" s="7"/>
      <c r="D3" s="14" t="s">
        <v>11</v>
      </c>
      <c r="E3" s="5">
        <f t="shared" ref="E3:S3" si="0">E4+E31+E38</f>
        <v>54272522.960000001</v>
      </c>
      <c r="F3" s="5">
        <f t="shared" si="0"/>
        <v>33775745.550000004</v>
      </c>
      <c r="G3" s="5">
        <f t="shared" si="0"/>
        <v>35863509.719999999</v>
      </c>
      <c r="H3" s="5">
        <f t="shared" si="0"/>
        <v>40349935.300000004</v>
      </c>
      <c r="I3" s="5">
        <f t="shared" si="0"/>
        <v>84799192.86999999</v>
      </c>
      <c r="J3" s="5">
        <f t="shared" si="0"/>
        <v>22635308.509999998</v>
      </c>
      <c r="K3" s="5">
        <f t="shared" si="0"/>
        <v>22025791.830000002</v>
      </c>
      <c r="L3" s="5">
        <f t="shared" si="0"/>
        <v>18420572.870000001</v>
      </c>
      <c r="M3" s="5">
        <f t="shared" si="0"/>
        <v>16721217.57</v>
      </c>
      <c r="N3" s="5">
        <f t="shared" si="0"/>
        <v>16924299.030000001</v>
      </c>
      <c r="O3" s="5">
        <f t="shared" si="0"/>
        <v>58006647.799999997</v>
      </c>
      <c r="P3" s="5">
        <f t="shared" si="0"/>
        <v>2113051.36</v>
      </c>
      <c r="Q3" s="5">
        <f t="shared" si="0"/>
        <v>6058424.3399999999</v>
      </c>
      <c r="R3" s="5">
        <f t="shared" si="0"/>
        <v>34164022.660000004</v>
      </c>
      <c r="S3" s="5">
        <f t="shared" si="0"/>
        <v>12333184.620000001</v>
      </c>
      <c r="T3" s="5">
        <f t="shared" ref="T3:T66" si="1">SUM(E3:S3)</f>
        <v>458463426.98999995</v>
      </c>
      <c r="U3" s="9"/>
    </row>
    <row r="4" spans="1:21" ht="23.1" customHeight="1">
      <c r="A4" s="1" t="s">
        <v>12</v>
      </c>
      <c r="B4" s="7" t="s">
        <v>0</v>
      </c>
      <c r="C4" s="7"/>
      <c r="D4" s="14" t="s">
        <v>11</v>
      </c>
      <c r="E4" s="5">
        <f>E5+E8+E12+E15+E20+E25+E27+E29+E30</f>
        <v>45157635.25</v>
      </c>
      <c r="F4" s="5">
        <f t="shared" ref="F4:S4" si="2">F5+F8+F12+F15+F20+F25+F27+F29+F30</f>
        <v>28016017.410000004</v>
      </c>
      <c r="G4" s="5">
        <f t="shared" si="2"/>
        <v>30087862.149999999</v>
      </c>
      <c r="H4" s="5">
        <f t="shared" si="2"/>
        <v>34833602.590000004</v>
      </c>
      <c r="I4" s="5">
        <f t="shared" si="2"/>
        <v>71410535.269999996</v>
      </c>
      <c r="J4" s="5">
        <f t="shared" si="2"/>
        <v>19275063.149999999</v>
      </c>
      <c r="K4" s="5">
        <f t="shared" si="2"/>
        <v>19131246.370000001</v>
      </c>
      <c r="L4" s="5">
        <f t="shared" si="2"/>
        <v>15552721.5</v>
      </c>
      <c r="M4" s="5">
        <f t="shared" si="2"/>
        <v>14240320.390000001</v>
      </c>
      <c r="N4" s="5">
        <f t="shared" si="2"/>
        <v>14762684.369999999</v>
      </c>
      <c r="O4" s="5">
        <f t="shared" si="2"/>
        <v>49721546.589999996</v>
      </c>
      <c r="P4" s="5">
        <f t="shared" si="2"/>
        <v>1806618.22</v>
      </c>
      <c r="Q4" s="5">
        <f t="shared" si="2"/>
        <v>4958171.63</v>
      </c>
      <c r="R4" s="5">
        <f t="shared" si="2"/>
        <v>28601524.390000001</v>
      </c>
      <c r="S4" s="5">
        <f t="shared" si="2"/>
        <v>10335122.680000002</v>
      </c>
      <c r="T4" s="5">
        <f t="shared" si="1"/>
        <v>387890671.96000004</v>
      </c>
      <c r="U4" s="9"/>
    </row>
    <row r="5" spans="1:21" ht="23.1" customHeight="1">
      <c r="A5" s="1" t="s">
        <v>13</v>
      </c>
      <c r="B5" s="7" t="s">
        <v>14</v>
      </c>
      <c r="C5" s="7"/>
      <c r="D5" s="14" t="s">
        <v>11</v>
      </c>
      <c r="E5" s="5">
        <f>E6+E7</f>
        <v>5726592</v>
      </c>
      <c r="F5" s="5">
        <f t="shared" ref="F5:S5" si="3">F6+F7</f>
        <v>3683256</v>
      </c>
      <c r="G5" s="5">
        <f t="shared" si="3"/>
        <v>4229808</v>
      </c>
      <c r="H5" s="5">
        <f t="shared" si="3"/>
        <v>4565568</v>
      </c>
      <c r="I5" s="5">
        <f t="shared" si="3"/>
        <v>8718456</v>
      </c>
      <c r="J5" s="5">
        <f t="shared" si="3"/>
        <v>2332272</v>
      </c>
      <c r="K5" s="5">
        <f t="shared" si="3"/>
        <v>2539476</v>
      </c>
      <c r="L5" s="5">
        <f t="shared" si="3"/>
        <v>2092500</v>
      </c>
      <c r="M5" s="5">
        <f t="shared" si="3"/>
        <v>1813080</v>
      </c>
      <c r="N5" s="5">
        <f t="shared" si="3"/>
        <v>2206176</v>
      </c>
      <c r="O5" s="5">
        <f t="shared" si="3"/>
        <v>5991648</v>
      </c>
      <c r="P5" s="5">
        <f t="shared" si="3"/>
        <v>215664</v>
      </c>
      <c r="Q5" s="5">
        <f t="shared" si="3"/>
        <v>573984</v>
      </c>
      <c r="R5" s="5">
        <f t="shared" si="3"/>
        <v>3085716</v>
      </c>
      <c r="S5" s="5">
        <f t="shared" si="3"/>
        <v>1338528</v>
      </c>
      <c r="T5" s="5">
        <f t="shared" si="1"/>
        <v>49112724</v>
      </c>
      <c r="U5" s="9"/>
    </row>
    <row r="6" spans="1:21" ht="23.1" customHeight="1">
      <c r="A6" s="1" t="s">
        <v>15</v>
      </c>
      <c r="B6" s="7" t="s">
        <v>16</v>
      </c>
      <c r="C6" s="7" t="s">
        <v>17</v>
      </c>
      <c r="D6" s="14" t="s">
        <v>18</v>
      </c>
      <c r="E6" s="8">
        <f>266320*12</f>
        <v>3195840</v>
      </c>
      <c r="F6" s="8">
        <f>172467*12</f>
        <v>2069604</v>
      </c>
      <c r="G6" s="8">
        <f>181677*12</f>
        <v>2180124</v>
      </c>
      <c r="H6" s="8">
        <f>205491*12</f>
        <v>2465892</v>
      </c>
      <c r="I6" s="8">
        <f>443348*12</f>
        <v>5320176</v>
      </c>
      <c r="J6" s="8">
        <f>128335*12</f>
        <v>1540020</v>
      </c>
      <c r="K6" s="8">
        <f>120838*12</f>
        <v>1450056</v>
      </c>
      <c r="L6" s="8">
        <f>99936*12</f>
        <v>1199232</v>
      </c>
      <c r="M6" s="8">
        <f>92532*12</f>
        <v>1110384</v>
      </c>
      <c r="N6" s="8">
        <f>92203*12</f>
        <v>1106436</v>
      </c>
      <c r="O6" s="8">
        <f>302045*12</f>
        <v>3624540</v>
      </c>
      <c r="P6" s="8">
        <f>9449*12</f>
        <v>113388</v>
      </c>
      <c r="Q6" s="8">
        <f>33389*12</f>
        <v>400668</v>
      </c>
      <c r="R6" s="8">
        <f>175232*12</f>
        <v>2102784</v>
      </c>
      <c r="S6" s="8">
        <f>67289*12</f>
        <v>807468</v>
      </c>
      <c r="T6" s="5">
        <f t="shared" si="1"/>
        <v>28686612</v>
      </c>
      <c r="U6" s="18"/>
    </row>
    <row r="7" spans="1:21" ht="23.1" customHeight="1">
      <c r="A7" s="1" t="s">
        <v>19</v>
      </c>
      <c r="B7" s="7" t="s">
        <v>20</v>
      </c>
      <c r="C7" s="7" t="s">
        <v>17</v>
      </c>
      <c r="D7" s="14" t="s">
        <v>18</v>
      </c>
      <c r="E7" s="8">
        <f>210896*12</f>
        <v>2530752</v>
      </c>
      <c r="F7" s="8">
        <f>134471*12</f>
        <v>1613652</v>
      </c>
      <c r="G7" s="8">
        <f>170807*12</f>
        <v>2049684</v>
      </c>
      <c r="H7" s="8">
        <f>174973*12</f>
        <v>2099676</v>
      </c>
      <c r="I7" s="8">
        <f>283190*12</f>
        <v>3398280</v>
      </c>
      <c r="J7" s="8">
        <f>66021*12</f>
        <v>792252</v>
      </c>
      <c r="K7" s="8">
        <f>90785*12</f>
        <v>1089420</v>
      </c>
      <c r="L7" s="8">
        <f>74439*12</f>
        <v>893268</v>
      </c>
      <c r="M7" s="8">
        <f>58558*12</f>
        <v>702696</v>
      </c>
      <c r="N7" s="8">
        <f>91645*12</f>
        <v>1099740</v>
      </c>
      <c r="O7" s="8">
        <v>2367108</v>
      </c>
      <c r="P7" s="8">
        <f>8523*12</f>
        <v>102276</v>
      </c>
      <c r="Q7" s="8">
        <f>14443*12</f>
        <v>173316</v>
      </c>
      <c r="R7" s="8">
        <f>81911*12</f>
        <v>982932</v>
      </c>
      <c r="S7" s="8">
        <f>44255*12</f>
        <v>531060</v>
      </c>
      <c r="T7" s="5">
        <f t="shared" si="1"/>
        <v>20426112</v>
      </c>
      <c r="U7" s="9"/>
    </row>
    <row r="8" spans="1:21" ht="23.1" customHeight="1">
      <c r="A8" s="1" t="s">
        <v>21</v>
      </c>
      <c r="B8" s="7" t="s">
        <v>22</v>
      </c>
      <c r="C8" s="7"/>
      <c r="D8" s="14" t="s">
        <v>11</v>
      </c>
      <c r="E8" s="5">
        <f>E9+E10</f>
        <v>615780</v>
      </c>
      <c r="F8" s="5">
        <f t="shared" ref="F8:S8" si="4">F9+F10</f>
        <v>385716</v>
      </c>
      <c r="G8" s="5">
        <f t="shared" si="4"/>
        <v>419256</v>
      </c>
      <c r="H8" s="5">
        <f t="shared" si="4"/>
        <v>497556</v>
      </c>
      <c r="I8" s="5">
        <f t="shared" si="4"/>
        <v>1045644</v>
      </c>
      <c r="J8" s="5">
        <f t="shared" si="4"/>
        <v>313872</v>
      </c>
      <c r="K8" s="5">
        <f t="shared" si="4"/>
        <v>300000</v>
      </c>
      <c r="L8" s="5">
        <f t="shared" si="4"/>
        <v>246132</v>
      </c>
      <c r="M8" s="5">
        <f t="shared" si="4"/>
        <v>229176</v>
      </c>
      <c r="N8" s="5">
        <f t="shared" si="4"/>
        <v>229608</v>
      </c>
      <c r="O8" s="5">
        <f t="shared" si="4"/>
        <v>710004</v>
      </c>
      <c r="P8" s="5">
        <f t="shared" si="4"/>
        <v>26676</v>
      </c>
      <c r="Q8" s="5">
        <f t="shared" si="4"/>
        <v>85044</v>
      </c>
      <c r="R8" s="5">
        <f t="shared" si="4"/>
        <v>429912</v>
      </c>
      <c r="S8" s="5">
        <f t="shared" si="4"/>
        <v>170448</v>
      </c>
      <c r="T8" s="5">
        <f t="shared" si="1"/>
        <v>5704824</v>
      </c>
      <c r="U8" s="9"/>
    </row>
    <row r="9" spans="1:21" ht="23.1" customHeight="1">
      <c r="A9" s="1" t="s">
        <v>23</v>
      </c>
      <c r="B9" s="7" t="s">
        <v>24</v>
      </c>
      <c r="C9" s="7" t="s">
        <v>17</v>
      </c>
      <c r="D9" s="14" t="s">
        <v>18</v>
      </c>
      <c r="E9" s="8">
        <f>715*12</f>
        <v>8580</v>
      </c>
      <c r="F9" s="8">
        <f>463*12</f>
        <v>5556</v>
      </c>
      <c r="G9" s="8">
        <f>618*12</f>
        <v>7416</v>
      </c>
      <c r="H9" s="8">
        <f>543*12</f>
        <v>6516</v>
      </c>
      <c r="I9" s="8">
        <f>897*12</f>
        <v>10764</v>
      </c>
      <c r="J9" s="8">
        <f>196*12</f>
        <v>2352</v>
      </c>
      <c r="K9" s="8">
        <f>360*12</f>
        <v>4320</v>
      </c>
      <c r="L9" s="8">
        <f>271*12</f>
        <v>3252</v>
      </c>
      <c r="M9" s="8">
        <f>178*12</f>
        <v>2136</v>
      </c>
      <c r="N9" s="8">
        <f>214*12</f>
        <v>2568</v>
      </c>
      <c r="O9" s="8">
        <f>647*12</f>
        <v>7764</v>
      </c>
      <c r="P9" s="8">
        <f>23*12</f>
        <v>276</v>
      </c>
      <c r="Q9" s="8">
        <f>47*12</f>
        <v>564</v>
      </c>
      <c r="R9" s="8">
        <f>186*12</f>
        <v>2232</v>
      </c>
      <c r="S9" s="8">
        <f>124*12</f>
        <v>1488</v>
      </c>
      <c r="T9" s="5">
        <f t="shared" si="1"/>
        <v>65784</v>
      </c>
      <c r="U9" s="9"/>
    </row>
    <row r="10" spans="1:21" ht="23.1" customHeight="1">
      <c r="A10" s="1" t="s">
        <v>25</v>
      </c>
      <c r="B10" s="7" t="s">
        <v>26</v>
      </c>
      <c r="C10" s="7"/>
      <c r="D10" s="14" t="s">
        <v>11</v>
      </c>
      <c r="E10" s="5">
        <f>E11</f>
        <v>607200</v>
      </c>
      <c r="F10" s="5">
        <f t="shared" ref="F10:S10" si="5">F11</f>
        <v>380160</v>
      </c>
      <c r="G10" s="5">
        <f t="shared" si="5"/>
        <v>411840</v>
      </c>
      <c r="H10" s="5">
        <f t="shared" si="5"/>
        <v>491040</v>
      </c>
      <c r="I10" s="5">
        <f t="shared" si="5"/>
        <v>1034880</v>
      </c>
      <c r="J10" s="5">
        <f t="shared" si="5"/>
        <v>311520</v>
      </c>
      <c r="K10" s="5">
        <f t="shared" si="5"/>
        <v>295680</v>
      </c>
      <c r="L10" s="5">
        <f t="shared" si="5"/>
        <v>242880</v>
      </c>
      <c r="M10" s="5">
        <f t="shared" si="5"/>
        <v>227040</v>
      </c>
      <c r="N10" s="5">
        <f t="shared" si="5"/>
        <v>227040</v>
      </c>
      <c r="O10" s="5">
        <f t="shared" si="5"/>
        <v>702240</v>
      </c>
      <c r="P10" s="5">
        <f t="shared" si="5"/>
        <v>26400</v>
      </c>
      <c r="Q10" s="5">
        <f t="shared" si="5"/>
        <v>84480</v>
      </c>
      <c r="R10" s="5">
        <f t="shared" si="5"/>
        <v>427680</v>
      </c>
      <c r="S10" s="5">
        <f t="shared" si="5"/>
        <v>168960</v>
      </c>
      <c r="T10" s="5">
        <f t="shared" si="1"/>
        <v>5639040</v>
      </c>
      <c r="U10" s="9"/>
    </row>
    <row r="11" spans="1:21" s="13" customFormat="1" ht="23.1" customHeight="1">
      <c r="A11" s="1" t="s">
        <v>27</v>
      </c>
      <c r="B11" s="12" t="s">
        <v>28</v>
      </c>
      <c r="C11" s="12" t="s">
        <v>17</v>
      </c>
      <c r="D11" s="9" t="s">
        <v>11</v>
      </c>
      <c r="E11" s="5">
        <f>440*12*E61</f>
        <v>607200</v>
      </c>
      <c r="F11" s="5">
        <f t="shared" ref="F11:S11" si="6">440*12*F61</f>
        <v>380160</v>
      </c>
      <c r="G11" s="5">
        <f t="shared" si="6"/>
        <v>411840</v>
      </c>
      <c r="H11" s="5">
        <f t="shared" si="6"/>
        <v>491040</v>
      </c>
      <c r="I11" s="5">
        <f t="shared" si="6"/>
        <v>1034880</v>
      </c>
      <c r="J11" s="5">
        <f t="shared" si="6"/>
        <v>311520</v>
      </c>
      <c r="K11" s="5">
        <f t="shared" si="6"/>
        <v>295680</v>
      </c>
      <c r="L11" s="5">
        <f t="shared" si="6"/>
        <v>242880</v>
      </c>
      <c r="M11" s="5">
        <f t="shared" si="6"/>
        <v>227040</v>
      </c>
      <c r="N11" s="5">
        <f t="shared" si="6"/>
        <v>227040</v>
      </c>
      <c r="O11" s="5">
        <f t="shared" si="6"/>
        <v>702240</v>
      </c>
      <c r="P11" s="5">
        <f t="shared" si="6"/>
        <v>26400</v>
      </c>
      <c r="Q11" s="5">
        <f t="shared" si="6"/>
        <v>84480</v>
      </c>
      <c r="R11" s="5">
        <f t="shared" si="6"/>
        <v>427680</v>
      </c>
      <c r="S11" s="5">
        <f t="shared" si="6"/>
        <v>168960</v>
      </c>
      <c r="T11" s="5">
        <f t="shared" si="1"/>
        <v>5639040</v>
      </c>
      <c r="U11" s="9"/>
    </row>
    <row r="12" spans="1:21" ht="23.1" customHeight="1">
      <c r="A12" s="1" t="s">
        <v>29</v>
      </c>
      <c r="B12" s="7" t="s">
        <v>30</v>
      </c>
      <c r="C12" s="7"/>
      <c r="D12" s="14" t="s">
        <v>31</v>
      </c>
      <c r="E12" s="5">
        <f>E13+E14</f>
        <v>228434.69</v>
      </c>
      <c r="F12" s="5">
        <f t="shared" ref="F12:S12" si="7">F13+F14</f>
        <v>137159.71</v>
      </c>
      <c r="G12" s="5">
        <f t="shared" si="7"/>
        <v>140265.29</v>
      </c>
      <c r="H12" s="5">
        <f t="shared" si="7"/>
        <v>157980.03</v>
      </c>
      <c r="I12" s="5">
        <f t="shared" si="7"/>
        <v>314845.27</v>
      </c>
      <c r="J12" s="5">
        <f t="shared" si="7"/>
        <v>62920.59</v>
      </c>
      <c r="K12" s="5">
        <f t="shared" si="7"/>
        <v>92826.07</v>
      </c>
      <c r="L12" s="5">
        <f t="shared" si="7"/>
        <v>73466.64</v>
      </c>
      <c r="M12" s="5">
        <f t="shared" si="7"/>
        <v>66127.25</v>
      </c>
      <c r="N12" s="5">
        <f t="shared" si="7"/>
        <v>68256.070000000007</v>
      </c>
      <c r="O12" s="5">
        <f t="shared" si="7"/>
        <v>233280.28999999998</v>
      </c>
      <c r="P12" s="5">
        <f t="shared" si="7"/>
        <v>9182.52</v>
      </c>
      <c r="Q12" s="5">
        <f t="shared" si="7"/>
        <v>20645.07</v>
      </c>
      <c r="R12" s="5">
        <f t="shared" si="7"/>
        <v>123663.53</v>
      </c>
      <c r="S12" s="5">
        <f t="shared" si="7"/>
        <v>45055.979999999996</v>
      </c>
      <c r="T12" s="5">
        <f t="shared" si="1"/>
        <v>1774109.0000000002</v>
      </c>
      <c r="U12" s="9"/>
    </row>
    <row r="13" spans="1:21" s="13" customFormat="1" ht="23.1" customHeight="1">
      <c r="A13" s="1" t="s">
        <v>32</v>
      </c>
      <c r="B13" s="12" t="s">
        <v>33</v>
      </c>
      <c r="C13" s="12" t="s">
        <v>17</v>
      </c>
      <c r="D13" s="9" t="s">
        <v>34</v>
      </c>
      <c r="E13" s="5">
        <f>ROUND(E29/0.07*0.00256,2)</f>
        <v>77353.69</v>
      </c>
      <c r="F13" s="5">
        <f t="shared" ref="F13:S13" si="8">ROUND(F29/0.07*0.00256,2)</f>
        <v>46445.71</v>
      </c>
      <c r="G13" s="5">
        <f t="shared" si="8"/>
        <v>47497.29</v>
      </c>
      <c r="H13" s="5">
        <f t="shared" si="8"/>
        <v>53496.03</v>
      </c>
      <c r="I13" s="5">
        <f t="shared" si="8"/>
        <v>106614.27</v>
      </c>
      <c r="J13" s="5">
        <f t="shared" si="8"/>
        <v>21306.59</v>
      </c>
      <c r="K13" s="5">
        <f t="shared" si="8"/>
        <v>31433.07</v>
      </c>
      <c r="L13" s="5">
        <f t="shared" si="8"/>
        <v>24877.64</v>
      </c>
      <c r="M13" s="5">
        <f t="shared" si="8"/>
        <v>22392.25</v>
      </c>
      <c r="N13" s="5">
        <f t="shared" si="8"/>
        <v>23113.07</v>
      </c>
      <c r="O13" s="5">
        <f t="shared" si="8"/>
        <v>78994.289999999994</v>
      </c>
      <c r="P13" s="5">
        <f t="shared" si="8"/>
        <v>3109.52</v>
      </c>
      <c r="Q13" s="5">
        <f t="shared" si="8"/>
        <v>6991.07</v>
      </c>
      <c r="R13" s="5">
        <f t="shared" si="8"/>
        <v>41875.53</v>
      </c>
      <c r="S13" s="5">
        <f t="shared" si="8"/>
        <v>15256.98</v>
      </c>
      <c r="T13" s="5">
        <f t="shared" si="1"/>
        <v>600757</v>
      </c>
      <c r="U13" s="9"/>
    </row>
    <row r="14" spans="1:21" s="13" customFormat="1" ht="23.1" customHeight="1">
      <c r="A14" s="1" t="s">
        <v>35</v>
      </c>
      <c r="B14" s="12" t="s">
        <v>36</v>
      </c>
      <c r="C14" s="12" t="s">
        <v>17</v>
      </c>
      <c r="D14" s="9" t="s">
        <v>34</v>
      </c>
      <c r="E14" s="5">
        <f>ROUND(E29/0.07*0.005,0)</f>
        <v>151081</v>
      </c>
      <c r="F14" s="5">
        <f t="shared" ref="F14:S14" si="9">ROUND(F29/0.07*0.005,0)</f>
        <v>90714</v>
      </c>
      <c r="G14" s="5">
        <f t="shared" si="9"/>
        <v>92768</v>
      </c>
      <c r="H14" s="5">
        <f t="shared" si="9"/>
        <v>104484</v>
      </c>
      <c r="I14" s="5">
        <f t="shared" si="9"/>
        <v>208231</v>
      </c>
      <c r="J14" s="5">
        <f t="shared" si="9"/>
        <v>41614</v>
      </c>
      <c r="K14" s="5">
        <f t="shared" si="9"/>
        <v>61393</v>
      </c>
      <c r="L14" s="5">
        <f t="shared" si="9"/>
        <v>48589</v>
      </c>
      <c r="M14" s="5">
        <f t="shared" si="9"/>
        <v>43735</v>
      </c>
      <c r="N14" s="5">
        <f t="shared" si="9"/>
        <v>45143</v>
      </c>
      <c r="O14" s="5">
        <f t="shared" si="9"/>
        <v>154286</v>
      </c>
      <c r="P14" s="5">
        <f t="shared" si="9"/>
        <v>6073</v>
      </c>
      <c r="Q14" s="5">
        <f t="shared" si="9"/>
        <v>13654</v>
      </c>
      <c r="R14" s="5">
        <f t="shared" si="9"/>
        <v>81788</v>
      </c>
      <c r="S14" s="5">
        <f t="shared" si="9"/>
        <v>29799</v>
      </c>
      <c r="T14" s="5">
        <f t="shared" si="1"/>
        <v>1173352</v>
      </c>
      <c r="U14" s="9"/>
    </row>
    <row r="15" spans="1:21" ht="23.1" customHeight="1">
      <c r="A15" s="1" t="s">
        <v>37</v>
      </c>
      <c r="B15" s="7" t="s">
        <v>38</v>
      </c>
      <c r="C15" s="7"/>
      <c r="D15" s="14" t="s">
        <v>11</v>
      </c>
      <c r="E15" s="5">
        <f>E16+E17+E18+E19</f>
        <v>24989500</v>
      </c>
      <c r="F15" s="5">
        <f t="shared" ref="F15:S15" si="10">F16+F17+F18+F19</f>
        <v>15645600</v>
      </c>
      <c r="G15" s="5">
        <f t="shared" si="10"/>
        <v>16949400</v>
      </c>
      <c r="H15" s="5">
        <f t="shared" si="10"/>
        <v>20208900</v>
      </c>
      <c r="I15" s="5">
        <f t="shared" si="10"/>
        <v>42590800</v>
      </c>
      <c r="J15" s="5">
        <f t="shared" si="10"/>
        <v>12820700</v>
      </c>
      <c r="K15" s="5">
        <f t="shared" si="10"/>
        <v>10673600</v>
      </c>
      <c r="L15" s="5">
        <f t="shared" si="10"/>
        <v>8767600</v>
      </c>
      <c r="M15" s="5">
        <f t="shared" si="10"/>
        <v>8195800</v>
      </c>
      <c r="N15" s="5">
        <f t="shared" si="10"/>
        <v>8195800</v>
      </c>
      <c r="O15" s="5">
        <f t="shared" si="10"/>
        <v>28900900</v>
      </c>
      <c r="P15" s="5">
        <f t="shared" si="10"/>
        <v>1008500</v>
      </c>
      <c r="Q15" s="5">
        <f t="shared" si="10"/>
        <v>3049600</v>
      </c>
      <c r="R15" s="5">
        <f t="shared" si="10"/>
        <v>17601300</v>
      </c>
      <c r="S15" s="5">
        <f t="shared" si="10"/>
        <v>6099200</v>
      </c>
      <c r="T15" s="5">
        <f t="shared" si="1"/>
        <v>225697200</v>
      </c>
      <c r="U15" s="9"/>
    </row>
    <row r="16" spans="1:21" ht="23.1" customHeight="1">
      <c r="A16" s="1" t="s">
        <v>39</v>
      </c>
      <c r="B16" s="2" t="s">
        <v>40</v>
      </c>
      <c r="C16" s="2" t="s">
        <v>17</v>
      </c>
      <c r="D16" s="3" t="s">
        <v>41</v>
      </c>
      <c r="E16" s="4">
        <v>22632576</v>
      </c>
      <c r="F16" s="4">
        <v>14283648</v>
      </c>
      <c r="G16" s="4">
        <v>15164220</v>
      </c>
      <c r="H16" s="4">
        <v>18217092</v>
      </c>
      <c r="I16" s="4">
        <v>38866392</v>
      </c>
      <c r="J16" s="4">
        <v>11666868</v>
      </c>
      <c r="K16" s="4">
        <v>10115048</v>
      </c>
      <c r="L16" s="4">
        <v>8248960</v>
      </c>
      <c r="M16" s="4">
        <v>7706884</v>
      </c>
      <c r="N16" s="4">
        <v>7725628</v>
      </c>
      <c r="O16" s="4">
        <v>26233044</v>
      </c>
      <c r="P16" s="4">
        <v>978500</v>
      </c>
      <c r="Q16" s="4">
        <v>2758744</v>
      </c>
      <c r="R16" s="4">
        <v>16080348</v>
      </c>
      <c r="S16" s="4">
        <v>5696876</v>
      </c>
      <c r="T16" s="5">
        <f t="shared" si="1"/>
        <v>206374828</v>
      </c>
      <c r="U16" s="3"/>
    </row>
    <row r="17" spans="1:21" ht="23.1" customHeight="1">
      <c r="A17" s="1" t="s">
        <v>42</v>
      </c>
      <c r="B17" s="2" t="s">
        <v>43</v>
      </c>
      <c r="C17" s="2" t="s">
        <v>17</v>
      </c>
      <c r="D17" s="3" t="s">
        <v>44</v>
      </c>
      <c r="E17" s="4">
        <v>516924</v>
      </c>
      <c r="F17" s="4">
        <v>209952</v>
      </c>
      <c r="G17" s="4">
        <v>537180</v>
      </c>
      <c r="H17" s="4">
        <v>503808</v>
      </c>
      <c r="I17" s="4">
        <v>588408</v>
      </c>
      <c r="J17" s="4">
        <v>209832</v>
      </c>
      <c r="K17" s="4">
        <v>222552</v>
      </c>
      <c r="L17" s="4">
        <v>242640</v>
      </c>
      <c r="M17" s="4">
        <v>230916</v>
      </c>
      <c r="N17" s="4">
        <v>212172</v>
      </c>
      <c r="O17" s="4">
        <v>539856</v>
      </c>
      <c r="P17" s="4"/>
      <c r="Q17" s="4">
        <v>194856</v>
      </c>
      <c r="R17" s="4">
        <v>224952</v>
      </c>
      <c r="S17" s="4">
        <v>210324</v>
      </c>
      <c r="T17" s="5">
        <f t="shared" si="1"/>
        <v>4644372</v>
      </c>
      <c r="U17" s="3"/>
    </row>
    <row r="18" spans="1:21" ht="23.1" customHeight="1">
      <c r="A18" s="1" t="s">
        <v>45</v>
      </c>
      <c r="B18" s="2" t="s">
        <v>46</v>
      </c>
      <c r="C18" s="2" t="s">
        <v>17</v>
      </c>
      <c r="D18" s="14" t="s">
        <v>11</v>
      </c>
      <c r="E18" s="19">
        <f>E61*500*12</f>
        <v>690000</v>
      </c>
      <c r="F18" s="19">
        <f t="shared" ref="F18:S18" si="11">F61*500*12</f>
        <v>432000</v>
      </c>
      <c r="G18" s="19">
        <f t="shared" si="11"/>
        <v>468000</v>
      </c>
      <c r="H18" s="19">
        <f t="shared" si="11"/>
        <v>558000</v>
      </c>
      <c r="I18" s="19">
        <f t="shared" si="11"/>
        <v>1176000</v>
      </c>
      <c r="J18" s="19">
        <f t="shared" si="11"/>
        <v>354000</v>
      </c>
      <c r="K18" s="19">
        <f t="shared" si="11"/>
        <v>336000</v>
      </c>
      <c r="L18" s="19">
        <f t="shared" si="11"/>
        <v>276000</v>
      </c>
      <c r="M18" s="19">
        <f t="shared" si="11"/>
        <v>258000</v>
      </c>
      <c r="N18" s="19">
        <f t="shared" si="11"/>
        <v>258000</v>
      </c>
      <c r="O18" s="19">
        <f t="shared" si="11"/>
        <v>798000</v>
      </c>
      <c r="P18" s="19">
        <f t="shared" si="11"/>
        <v>30000</v>
      </c>
      <c r="Q18" s="19">
        <f t="shared" si="11"/>
        <v>96000</v>
      </c>
      <c r="R18" s="19">
        <f t="shared" si="11"/>
        <v>486000</v>
      </c>
      <c r="S18" s="19">
        <f t="shared" si="11"/>
        <v>192000</v>
      </c>
      <c r="T18" s="5">
        <f t="shared" si="1"/>
        <v>6408000</v>
      </c>
      <c r="U18" s="3"/>
    </row>
    <row r="19" spans="1:21" ht="23.1" customHeight="1">
      <c r="A19" s="1" t="s">
        <v>47</v>
      </c>
      <c r="B19" s="2" t="s">
        <v>48</v>
      </c>
      <c r="C19" s="2" t="s">
        <v>17</v>
      </c>
      <c r="D19" s="14" t="s">
        <v>18</v>
      </c>
      <c r="E19" s="4">
        <f>10000*E61</f>
        <v>1150000</v>
      </c>
      <c r="F19" s="4">
        <f t="shared" ref="F19:J19" si="12">10000*F61</f>
        <v>720000</v>
      </c>
      <c r="G19" s="4">
        <f t="shared" si="12"/>
        <v>780000</v>
      </c>
      <c r="H19" s="4">
        <f t="shared" si="12"/>
        <v>930000</v>
      </c>
      <c r="I19" s="4">
        <f t="shared" si="12"/>
        <v>1960000</v>
      </c>
      <c r="J19" s="4">
        <f t="shared" si="12"/>
        <v>590000</v>
      </c>
      <c r="K19" s="4"/>
      <c r="L19" s="4"/>
      <c r="M19" s="4"/>
      <c r="N19" s="4"/>
      <c r="O19" s="4">
        <f>10000*O61</f>
        <v>1330000</v>
      </c>
      <c r="P19" s="4"/>
      <c r="Q19" s="4"/>
      <c r="R19" s="4">
        <f>10000*R61</f>
        <v>810000</v>
      </c>
      <c r="S19" s="4"/>
      <c r="T19" s="5">
        <f t="shared" si="1"/>
        <v>8270000</v>
      </c>
      <c r="U19" s="3"/>
    </row>
    <row r="20" spans="1:21" ht="23.1" customHeight="1">
      <c r="A20" s="1" t="s">
        <v>49</v>
      </c>
      <c r="B20" s="7" t="s">
        <v>50</v>
      </c>
      <c r="C20" s="7"/>
      <c r="D20" s="3" t="s">
        <v>11</v>
      </c>
      <c r="E20" s="19">
        <f>E21+E22</f>
        <v>4230279.99</v>
      </c>
      <c r="F20" s="19">
        <f t="shared" ref="F20:S20" si="13">F21+F22</f>
        <v>2539999.9900000002</v>
      </c>
      <c r="G20" s="19">
        <f t="shared" si="13"/>
        <v>2597508</v>
      </c>
      <c r="H20" s="19">
        <f t="shared" si="13"/>
        <v>2925563.99</v>
      </c>
      <c r="I20" s="19">
        <f t="shared" si="13"/>
        <v>5830468</v>
      </c>
      <c r="J20" s="19">
        <f t="shared" si="13"/>
        <v>1165203.99</v>
      </c>
      <c r="K20" s="19">
        <f t="shared" si="13"/>
        <v>1718996.01</v>
      </c>
      <c r="L20" s="19">
        <f t="shared" si="13"/>
        <v>1360496</v>
      </c>
      <c r="M20" s="19">
        <f t="shared" si="13"/>
        <v>1224576</v>
      </c>
      <c r="N20" s="19">
        <f t="shared" si="13"/>
        <v>1263996.01</v>
      </c>
      <c r="O20" s="19">
        <f t="shared" si="13"/>
        <v>4320000.01</v>
      </c>
      <c r="P20" s="19">
        <f t="shared" si="13"/>
        <v>170051.99</v>
      </c>
      <c r="Q20" s="19">
        <f t="shared" si="13"/>
        <v>382323.99</v>
      </c>
      <c r="R20" s="19">
        <f t="shared" si="13"/>
        <v>2290068</v>
      </c>
      <c r="S20" s="19">
        <f t="shared" si="13"/>
        <v>834365.99</v>
      </c>
      <c r="T20" s="5">
        <f t="shared" si="1"/>
        <v>32853897.959999997</v>
      </c>
      <c r="U20" s="3"/>
    </row>
    <row r="21" spans="1:21" ht="23.1" customHeight="1">
      <c r="A21" s="1" t="s">
        <v>51</v>
      </c>
      <c r="B21" s="7" t="s">
        <v>52</v>
      </c>
      <c r="C21" s="7" t="s">
        <v>53</v>
      </c>
      <c r="D21" s="3" t="s">
        <v>11</v>
      </c>
      <c r="E21" s="19">
        <f>ROUND(E29/0.07*0.1,2)</f>
        <v>3021628.57</v>
      </c>
      <c r="F21" s="19">
        <f t="shared" ref="F21:S21" si="14">ROUND(F29/0.07*0.1,2)</f>
        <v>1814285.71</v>
      </c>
      <c r="G21" s="19">
        <f t="shared" si="14"/>
        <v>1855362.86</v>
      </c>
      <c r="H21" s="19">
        <f t="shared" si="14"/>
        <v>2089688.57</v>
      </c>
      <c r="I21" s="19">
        <f t="shared" si="14"/>
        <v>4164620</v>
      </c>
      <c r="J21" s="19">
        <f t="shared" si="14"/>
        <v>832288.57</v>
      </c>
      <c r="K21" s="19">
        <f t="shared" si="14"/>
        <v>1227854.29</v>
      </c>
      <c r="L21" s="19">
        <f t="shared" si="14"/>
        <v>971782.86</v>
      </c>
      <c r="M21" s="19">
        <f t="shared" si="14"/>
        <v>874697.14</v>
      </c>
      <c r="N21" s="19">
        <f t="shared" si="14"/>
        <v>902854.29</v>
      </c>
      <c r="O21" s="19">
        <f t="shared" si="14"/>
        <v>3085714.29</v>
      </c>
      <c r="P21" s="19">
        <f t="shared" si="14"/>
        <v>121465.71</v>
      </c>
      <c r="Q21" s="19">
        <f t="shared" si="14"/>
        <v>273088.57</v>
      </c>
      <c r="R21" s="19">
        <f t="shared" si="14"/>
        <v>1635762.86</v>
      </c>
      <c r="S21" s="19">
        <f t="shared" si="14"/>
        <v>595975.71</v>
      </c>
      <c r="T21" s="5">
        <f t="shared" si="1"/>
        <v>23467070</v>
      </c>
      <c r="U21" s="3"/>
    </row>
    <row r="22" spans="1:21" ht="23.1" customHeight="1">
      <c r="A22" s="1" t="s">
        <v>54</v>
      </c>
      <c r="B22" s="7" t="s">
        <v>55</v>
      </c>
      <c r="C22" s="7" t="s">
        <v>53</v>
      </c>
      <c r="D22" s="3" t="s">
        <v>34</v>
      </c>
      <c r="E22" s="19">
        <f>E23+E24</f>
        <v>1208651.42</v>
      </c>
      <c r="F22" s="19">
        <f t="shared" ref="F22:S22" si="15">F23+F24</f>
        <v>725714.28</v>
      </c>
      <c r="G22" s="19">
        <f t="shared" si="15"/>
        <v>742145.14</v>
      </c>
      <c r="H22" s="19">
        <f t="shared" si="15"/>
        <v>835875.42</v>
      </c>
      <c r="I22" s="19">
        <f t="shared" si="15"/>
        <v>1665848</v>
      </c>
      <c r="J22" s="19">
        <f t="shared" si="15"/>
        <v>332915.42</v>
      </c>
      <c r="K22" s="19">
        <f t="shared" si="15"/>
        <v>491141.72</v>
      </c>
      <c r="L22" s="19">
        <f t="shared" si="15"/>
        <v>388713.14</v>
      </c>
      <c r="M22" s="19">
        <f t="shared" si="15"/>
        <v>349878.86</v>
      </c>
      <c r="N22" s="19">
        <f t="shared" si="15"/>
        <v>361141.72</v>
      </c>
      <c r="O22" s="19">
        <f t="shared" si="15"/>
        <v>1234285.72</v>
      </c>
      <c r="P22" s="19">
        <f t="shared" si="15"/>
        <v>48586.28</v>
      </c>
      <c r="Q22" s="19">
        <f t="shared" si="15"/>
        <v>109235.42</v>
      </c>
      <c r="R22" s="19">
        <f t="shared" si="15"/>
        <v>654305.14</v>
      </c>
      <c r="S22" s="19">
        <f t="shared" si="15"/>
        <v>238390.28</v>
      </c>
      <c r="T22" s="5">
        <f t="shared" si="1"/>
        <v>9386827.959999999</v>
      </c>
      <c r="U22" s="3"/>
    </row>
    <row r="23" spans="1:21" ht="23.1" customHeight="1">
      <c r="A23" s="1" t="s">
        <v>56</v>
      </c>
      <c r="B23" s="7" t="s">
        <v>57</v>
      </c>
      <c r="C23" s="7" t="s">
        <v>53</v>
      </c>
      <c r="D23" s="3" t="s">
        <v>34</v>
      </c>
      <c r="E23" s="19">
        <f>ROUND(E29/0.07*0.02,2)</f>
        <v>604325.71</v>
      </c>
      <c r="F23" s="19">
        <f t="shared" ref="F23:S23" si="16">ROUND(F29/0.07*0.02,2)</f>
        <v>362857.14</v>
      </c>
      <c r="G23" s="19">
        <f t="shared" si="16"/>
        <v>371072.57</v>
      </c>
      <c r="H23" s="19">
        <f t="shared" si="16"/>
        <v>417937.71</v>
      </c>
      <c r="I23" s="19">
        <f t="shared" si="16"/>
        <v>832924</v>
      </c>
      <c r="J23" s="19">
        <f t="shared" si="16"/>
        <v>166457.71</v>
      </c>
      <c r="K23" s="19">
        <f t="shared" si="16"/>
        <v>245570.86</v>
      </c>
      <c r="L23" s="19">
        <f t="shared" si="16"/>
        <v>194356.57</v>
      </c>
      <c r="M23" s="19">
        <f t="shared" si="16"/>
        <v>174939.43</v>
      </c>
      <c r="N23" s="19">
        <f t="shared" si="16"/>
        <v>180570.86</v>
      </c>
      <c r="O23" s="19">
        <f t="shared" si="16"/>
        <v>617142.86</v>
      </c>
      <c r="P23" s="19">
        <f t="shared" si="16"/>
        <v>24293.14</v>
      </c>
      <c r="Q23" s="19">
        <f t="shared" si="16"/>
        <v>54617.71</v>
      </c>
      <c r="R23" s="19">
        <f t="shared" si="16"/>
        <v>327152.57</v>
      </c>
      <c r="S23" s="19">
        <f t="shared" si="16"/>
        <v>119195.14</v>
      </c>
      <c r="T23" s="5">
        <f t="shared" si="1"/>
        <v>4693413.9799999995</v>
      </c>
      <c r="U23" s="3"/>
    </row>
    <row r="24" spans="1:21" ht="23.1" customHeight="1">
      <c r="A24" s="1" t="s">
        <v>58</v>
      </c>
      <c r="B24" s="7" t="s">
        <v>59</v>
      </c>
      <c r="C24" s="7" t="s">
        <v>53</v>
      </c>
      <c r="D24" s="3" t="s">
        <v>34</v>
      </c>
      <c r="E24" s="19">
        <f>ROUND(E29/0.07*0.02,2)</f>
        <v>604325.71</v>
      </c>
      <c r="F24" s="19">
        <f t="shared" ref="F24:S24" si="17">ROUND(F29/0.07*0.02,2)</f>
        <v>362857.14</v>
      </c>
      <c r="G24" s="19">
        <f t="shared" si="17"/>
        <v>371072.57</v>
      </c>
      <c r="H24" s="19">
        <f t="shared" si="17"/>
        <v>417937.71</v>
      </c>
      <c r="I24" s="19">
        <f t="shared" si="17"/>
        <v>832924</v>
      </c>
      <c r="J24" s="19">
        <f t="shared" si="17"/>
        <v>166457.71</v>
      </c>
      <c r="K24" s="19">
        <f t="shared" si="17"/>
        <v>245570.86</v>
      </c>
      <c r="L24" s="19">
        <f t="shared" si="17"/>
        <v>194356.57</v>
      </c>
      <c r="M24" s="19">
        <f t="shared" si="17"/>
        <v>174939.43</v>
      </c>
      <c r="N24" s="19">
        <f t="shared" si="17"/>
        <v>180570.86</v>
      </c>
      <c r="O24" s="19">
        <f t="shared" si="17"/>
        <v>617142.86</v>
      </c>
      <c r="P24" s="19">
        <f t="shared" si="17"/>
        <v>24293.14</v>
      </c>
      <c r="Q24" s="19">
        <f t="shared" si="17"/>
        <v>54617.71</v>
      </c>
      <c r="R24" s="19">
        <f t="shared" si="17"/>
        <v>327152.57</v>
      </c>
      <c r="S24" s="19">
        <f t="shared" si="17"/>
        <v>119195.14</v>
      </c>
      <c r="T24" s="5">
        <f t="shared" si="1"/>
        <v>4693413.9799999995</v>
      </c>
      <c r="U24" s="3"/>
    </row>
    <row r="25" spans="1:21" ht="23.1" customHeight="1">
      <c r="A25" s="1" t="s">
        <v>60</v>
      </c>
      <c r="B25" s="7" t="s">
        <v>61</v>
      </c>
      <c r="C25" s="7"/>
      <c r="D25" s="14" t="s">
        <v>11</v>
      </c>
      <c r="E25" s="5">
        <f t="shared" ref="E25:S25" si="18">E26</f>
        <v>4834605.71</v>
      </c>
      <c r="F25" s="5">
        <f t="shared" si="18"/>
        <v>2902857.14</v>
      </c>
      <c r="G25" s="5">
        <f t="shared" si="18"/>
        <v>2968580.57</v>
      </c>
      <c r="H25" s="5">
        <f t="shared" si="18"/>
        <v>3343501.71</v>
      </c>
      <c r="I25" s="5">
        <f t="shared" si="18"/>
        <v>6663392</v>
      </c>
      <c r="J25" s="5">
        <f t="shared" si="18"/>
        <v>1331661.71</v>
      </c>
      <c r="K25" s="5">
        <f t="shared" si="18"/>
        <v>1964566.86</v>
      </c>
      <c r="L25" s="5">
        <f t="shared" si="18"/>
        <v>1554852.57</v>
      </c>
      <c r="M25" s="5">
        <f t="shared" si="18"/>
        <v>1399515.43</v>
      </c>
      <c r="N25" s="5">
        <f t="shared" si="18"/>
        <v>1444566.86</v>
      </c>
      <c r="O25" s="5">
        <f t="shared" si="18"/>
        <v>4937142.8600000003</v>
      </c>
      <c r="P25" s="5">
        <f t="shared" si="18"/>
        <v>194345.14</v>
      </c>
      <c r="Q25" s="5">
        <f t="shared" si="18"/>
        <v>436941.71</v>
      </c>
      <c r="R25" s="5">
        <f t="shared" si="18"/>
        <v>2617220.5699999998</v>
      </c>
      <c r="S25" s="5">
        <f t="shared" si="18"/>
        <v>953561.14</v>
      </c>
      <c r="T25" s="5">
        <f t="shared" si="1"/>
        <v>37547311.979999997</v>
      </c>
      <c r="U25" s="9"/>
    </row>
    <row r="26" spans="1:21" s="13" customFormat="1" ht="23.1" customHeight="1">
      <c r="A26" s="1" t="s">
        <v>62</v>
      </c>
      <c r="B26" s="12" t="s">
        <v>63</v>
      </c>
      <c r="C26" s="12" t="s">
        <v>64</v>
      </c>
      <c r="D26" s="9" t="s">
        <v>34</v>
      </c>
      <c r="E26" s="5">
        <f>ROUND(E29/0.07*0.16,2)</f>
        <v>4834605.71</v>
      </c>
      <c r="F26" s="5">
        <f t="shared" ref="F26:S26" si="19">ROUND(F29/0.07*0.16,2)</f>
        <v>2902857.14</v>
      </c>
      <c r="G26" s="5">
        <f t="shared" si="19"/>
        <v>2968580.57</v>
      </c>
      <c r="H26" s="5">
        <f t="shared" si="19"/>
        <v>3343501.71</v>
      </c>
      <c r="I26" s="5">
        <f t="shared" si="19"/>
        <v>6663392</v>
      </c>
      <c r="J26" s="5">
        <f t="shared" si="19"/>
        <v>1331661.71</v>
      </c>
      <c r="K26" s="5">
        <f t="shared" si="19"/>
        <v>1964566.86</v>
      </c>
      <c r="L26" s="5">
        <f t="shared" si="19"/>
        <v>1554852.57</v>
      </c>
      <c r="M26" s="5">
        <f t="shared" si="19"/>
        <v>1399515.43</v>
      </c>
      <c r="N26" s="5">
        <f t="shared" si="19"/>
        <v>1444566.86</v>
      </c>
      <c r="O26" s="5">
        <f t="shared" si="19"/>
        <v>4937142.8600000003</v>
      </c>
      <c r="P26" s="5">
        <f t="shared" si="19"/>
        <v>194345.14</v>
      </c>
      <c r="Q26" s="5">
        <f t="shared" si="19"/>
        <v>436941.71</v>
      </c>
      <c r="R26" s="5">
        <f t="shared" si="19"/>
        <v>2617220.5699999998</v>
      </c>
      <c r="S26" s="5">
        <f t="shared" si="19"/>
        <v>953561.14</v>
      </c>
      <c r="T26" s="5">
        <f t="shared" si="1"/>
        <v>37547311.979999997</v>
      </c>
      <c r="U26" s="9"/>
    </row>
    <row r="27" spans="1:21" ht="23.1" customHeight="1">
      <c r="A27" s="1" t="s">
        <v>65</v>
      </c>
      <c r="B27" s="7" t="s">
        <v>66</v>
      </c>
      <c r="C27" s="7"/>
      <c r="D27" s="14" t="s">
        <v>11</v>
      </c>
      <c r="E27" s="5">
        <f t="shared" ref="E27:S27" si="20">E28</f>
        <v>2417302.86</v>
      </c>
      <c r="F27" s="5">
        <f t="shared" si="20"/>
        <v>1451428.57</v>
      </c>
      <c r="G27" s="5">
        <f t="shared" si="20"/>
        <v>1484290.29</v>
      </c>
      <c r="H27" s="5">
        <f t="shared" si="20"/>
        <v>1671750.86</v>
      </c>
      <c r="I27" s="5">
        <f t="shared" si="20"/>
        <v>3331696</v>
      </c>
      <c r="J27" s="5">
        <f t="shared" si="20"/>
        <v>665830.86</v>
      </c>
      <c r="K27" s="5">
        <f t="shared" si="20"/>
        <v>982283.43</v>
      </c>
      <c r="L27" s="5">
        <f t="shared" si="20"/>
        <v>777426.29</v>
      </c>
      <c r="M27" s="5">
        <f t="shared" si="20"/>
        <v>699757.71</v>
      </c>
      <c r="N27" s="5">
        <f t="shared" si="20"/>
        <v>722283.43</v>
      </c>
      <c r="O27" s="5">
        <f t="shared" si="20"/>
        <v>2468571.4300000002</v>
      </c>
      <c r="P27" s="5">
        <f t="shared" si="20"/>
        <v>97172.57</v>
      </c>
      <c r="Q27" s="5">
        <f t="shared" si="20"/>
        <v>218470.86</v>
      </c>
      <c r="R27" s="5">
        <f t="shared" si="20"/>
        <v>1308610.29</v>
      </c>
      <c r="S27" s="5">
        <f t="shared" si="20"/>
        <v>476780.57</v>
      </c>
      <c r="T27" s="5">
        <f t="shared" si="1"/>
        <v>18773656.02</v>
      </c>
      <c r="U27" s="9"/>
    </row>
    <row r="28" spans="1:21" s="13" customFormat="1" ht="23.1" customHeight="1">
      <c r="A28" s="1" t="s">
        <v>67</v>
      </c>
      <c r="B28" s="12" t="s">
        <v>68</v>
      </c>
      <c r="C28" s="12" t="s">
        <v>69</v>
      </c>
      <c r="D28" s="9" t="s">
        <v>34</v>
      </c>
      <c r="E28" s="5">
        <f>ROUND(E29/0.07*0.08,2)</f>
        <v>2417302.86</v>
      </c>
      <c r="F28" s="5">
        <f t="shared" ref="F28:S28" si="21">ROUND(F29/0.07*0.08,2)</f>
        <v>1451428.57</v>
      </c>
      <c r="G28" s="5">
        <f t="shared" si="21"/>
        <v>1484290.29</v>
      </c>
      <c r="H28" s="5">
        <f t="shared" si="21"/>
        <v>1671750.86</v>
      </c>
      <c r="I28" s="5">
        <f t="shared" si="21"/>
        <v>3331696</v>
      </c>
      <c r="J28" s="5">
        <f t="shared" si="21"/>
        <v>665830.86</v>
      </c>
      <c r="K28" s="5">
        <f t="shared" si="21"/>
        <v>982283.43</v>
      </c>
      <c r="L28" s="5">
        <f t="shared" si="21"/>
        <v>777426.29</v>
      </c>
      <c r="M28" s="5">
        <f t="shared" si="21"/>
        <v>699757.71</v>
      </c>
      <c r="N28" s="5">
        <f t="shared" si="21"/>
        <v>722283.43</v>
      </c>
      <c r="O28" s="5">
        <f t="shared" si="21"/>
        <v>2468571.4300000002</v>
      </c>
      <c r="P28" s="5">
        <f t="shared" si="21"/>
        <v>97172.57</v>
      </c>
      <c r="Q28" s="5">
        <f t="shared" si="21"/>
        <v>218470.86</v>
      </c>
      <c r="R28" s="5">
        <f t="shared" si="21"/>
        <v>1308610.29</v>
      </c>
      <c r="S28" s="5">
        <f t="shared" si="21"/>
        <v>476780.57</v>
      </c>
      <c r="T28" s="5">
        <f t="shared" si="1"/>
        <v>18773656.02</v>
      </c>
      <c r="U28" s="9"/>
    </row>
    <row r="29" spans="1:21" ht="23.1" customHeight="1">
      <c r="A29" s="1" t="s">
        <v>70</v>
      </c>
      <c r="B29" s="7" t="s">
        <v>71</v>
      </c>
      <c r="C29" s="7" t="s">
        <v>72</v>
      </c>
      <c r="D29" s="14" t="s">
        <v>73</v>
      </c>
      <c r="E29" s="4">
        <v>2115140</v>
      </c>
      <c r="F29" s="4">
        <v>1270000</v>
      </c>
      <c r="G29" s="4">
        <v>1298754</v>
      </c>
      <c r="H29" s="4">
        <v>1462782</v>
      </c>
      <c r="I29" s="4">
        <v>2915234</v>
      </c>
      <c r="J29" s="4">
        <f>582602</f>
        <v>582602</v>
      </c>
      <c r="K29" s="4">
        <v>859498</v>
      </c>
      <c r="L29" s="4">
        <v>680248</v>
      </c>
      <c r="M29" s="4">
        <v>612288</v>
      </c>
      <c r="N29" s="4">
        <v>631998</v>
      </c>
      <c r="O29" s="4">
        <v>2160000</v>
      </c>
      <c r="P29" s="4">
        <v>85026</v>
      </c>
      <c r="Q29" s="4">
        <v>191162</v>
      </c>
      <c r="R29" s="4">
        <v>1145034</v>
      </c>
      <c r="S29" s="4">
        <v>417183</v>
      </c>
      <c r="T29" s="5">
        <f t="shared" si="1"/>
        <v>16426949</v>
      </c>
      <c r="U29" s="3"/>
    </row>
    <row r="30" spans="1:21" ht="23.1" customHeight="1">
      <c r="A30" s="1" t="s">
        <v>74</v>
      </c>
      <c r="B30" s="7" t="s">
        <v>75</v>
      </c>
      <c r="C30" s="2" t="s">
        <v>17</v>
      </c>
      <c r="D30" s="9" t="s">
        <v>76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">
        <f t="shared" si="1"/>
        <v>0</v>
      </c>
      <c r="U30" s="3"/>
    </row>
    <row r="31" spans="1:21" ht="23.1" customHeight="1">
      <c r="A31" s="1" t="s">
        <v>77</v>
      </c>
      <c r="B31" s="7" t="s">
        <v>78</v>
      </c>
      <c r="C31" s="7"/>
      <c r="D31" s="14" t="s">
        <v>11</v>
      </c>
      <c r="E31" s="5">
        <f>E32+E34+E36</f>
        <v>1794135</v>
      </c>
      <c r="F31" s="5">
        <f t="shared" ref="F31:S31" si="22">F32+F34+F36</f>
        <v>1032755</v>
      </c>
      <c r="G31" s="5">
        <f t="shared" si="22"/>
        <v>1398740</v>
      </c>
      <c r="H31" s="5">
        <f t="shared" si="22"/>
        <v>855595</v>
      </c>
      <c r="I31" s="5">
        <f t="shared" si="22"/>
        <v>313920</v>
      </c>
      <c r="J31" s="5">
        <f t="shared" si="22"/>
        <v>1800</v>
      </c>
      <c r="K31" s="5">
        <f t="shared" si="22"/>
        <v>198325</v>
      </c>
      <c r="L31" s="5">
        <f t="shared" si="22"/>
        <v>340085</v>
      </c>
      <c r="M31" s="5">
        <f t="shared" si="22"/>
        <v>70860</v>
      </c>
      <c r="N31" s="5">
        <f t="shared" si="22"/>
        <v>16260</v>
      </c>
      <c r="O31" s="5">
        <f t="shared" si="22"/>
        <v>52320</v>
      </c>
      <c r="P31" s="5">
        <f t="shared" si="22"/>
        <v>65880</v>
      </c>
      <c r="Q31" s="5">
        <f t="shared" si="22"/>
        <v>720</v>
      </c>
      <c r="R31" s="5">
        <f t="shared" si="22"/>
        <v>45255</v>
      </c>
      <c r="S31" s="5">
        <f t="shared" si="22"/>
        <v>161790</v>
      </c>
      <c r="T31" s="5">
        <f t="shared" si="1"/>
        <v>6348440</v>
      </c>
      <c r="U31" s="9"/>
    </row>
    <row r="32" spans="1:21" ht="23.1" customHeight="1">
      <c r="A32" s="1" t="s">
        <v>79</v>
      </c>
      <c r="B32" s="7" t="s">
        <v>80</v>
      </c>
      <c r="C32" s="7" t="s">
        <v>81</v>
      </c>
      <c r="D32" s="3" t="s">
        <v>82</v>
      </c>
      <c r="E32" s="19">
        <f>E33</f>
        <v>1787235</v>
      </c>
      <c r="F32" s="19">
        <f t="shared" ref="F32:S32" si="23">F33</f>
        <v>1027655</v>
      </c>
      <c r="G32" s="19">
        <f t="shared" si="23"/>
        <v>1396160</v>
      </c>
      <c r="H32" s="19">
        <f t="shared" si="23"/>
        <v>853435</v>
      </c>
      <c r="I32" s="19">
        <f t="shared" si="23"/>
        <v>309720</v>
      </c>
      <c r="J32" s="19">
        <f t="shared" si="23"/>
        <v>0</v>
      </c>
      <c r="K32" s="19">
        <f t="shared" si="23"/>
        <v>194725</v>
      </c>
      <c r="L32" s="19">
        <f t="shared" si="23"/>
        <v>336935</v>
      </c>
      <c r="M32" s="19">
        <f t="shared" si="23"/>
        <v>66540</v>
      </c>
      <c r="N32" s="19">
        <f t="shared" si="23"/>
        <v>13020</v>
      </c>
      <c r="O32" s="19">
        <f t="shared" si="23"/>
        <v>47340</v>
      </c>
      <c r="P32" s="19">
        <f t="shared" si="23"/>
        <v>65880</v>
      </c>
      <c r="Q32" s="19">
        <f t="shared" si="23"/>
        <v>0</v>
      </c>
      <c r="R32" s="19">
        <f t="shared" si="23"/>
        <v>41655</v>
      </c>
      <c r="S32" s="19">
        <f t="shared" si="23"/>
        <v>160260</v>
      </c>
      <c r="T32" s="5">
        <f t="shared" si="1"/>
        <v>6300560</v>
      </c>
      <c r="U32" s="3"/>
    </row>
    <row r="33" spans="1:21" ht="23.1" customHeight="1">
      <c r="A33" s="1" t="s">
        <v>83</v>
      </c>
      <c r="B33" s="7" t="s">
        <v>84</v>
      </c>
      <c r="C33" s="7" t="s">
        <v>81</v>
      </c>
      <c r="D33" s="3" t="s">
        <v>82</v>
      </c>
      <c r="E33" s="8">
        <v>1787235</v>
      </c>
      <c r="F33" s="8">
        <v>1027655</v>
      </c>
      <c r="G33" s="8">
        <v>1396160</v>
      </c>
      <c r="H33" s="8">
        <v>853435</v>
      </c>
      <c r="I33" s="8">
        <v>309720</v>
      </c>
      <c r="J33" s="8"/>
      <c r="K33" s="8">
        <v>194725</v>
      </c>
      <c r="L33" s="8">
        <v>336935</v>
      </c>
      <c r="M33" s="8">
        <v>66540</v>
      </c>
      <c r="N33" s="8">
        <v>13020</v>
      </c>
      <c r="O33" s="8">
        <v>47340</v>
      </c>
      <c r="P33" s="8">
        <v>65880</v>
      </c>
      <c r="Q33" s="8"/>
      <c r="R33" s="8">
        <v>41655</v>
      </c>
      <c r="S33" s="8">
        <v>160260</v>
      </c>
      <c r="T33" s="5">
        <f t="shared" si="1"/>
        <v>6300560</v>
      </c>
      <c r="U33" s="9"/>
    </row>
    <row r="34" spans="1:21" ht="23.1" customHeight="1">
      <c r="A34" s="1" t="s">
        <v>85</v>
      </c>
      <c r="B34" s="7" t="s">
        <v>86</v>
      </c>
      <c r="C34" s="7"/>
      <c r="D34" s="14" t="s">
        <v>11</v>
      </c>
      <c r="E34" s="5">
        <f>E35</f>
        <v>6900</v>
      </c>
      <c r="F34" s="5">
        <f t="shared" ref="F34:S34" si="24">F35</f>
        <v>5100</v>
      </c>
      <c r="G34" s="5">
        <f t="shared" si="24"/>
        <v>2580</v>
      </c>
      <c r="H34" s="5">
        <f t="shared" si="24"/>
        <v>2160</v>
      </c>
      <c r="I34" s="5">
        <f t="shared" si="24"/>
        <v>4200</v>
      </c>
      <c r="J34" s="5">
        <f t="shared" si="24"/>
        <v>1800</v>
      </c>
      <c r="K34" s="5">
        <f t="shared" si="24"/>
        <v>3600</v>
      </c>
      <c r="L34" s="5">
        <f t="shared" si="24"/>
        <v>3150</v>
      </c>
      <c r="M34" s="5">
        <f t="shared" si="24"/>
        <v>4320</v>
      </c>
      <c r="N34" s="5">
        <f t="shared" si="24"/>
        <v>3240</v>
      </c>
      <c r="O34" s="5">
        <f t="shared" si="24"/>
        <v>4980</v>
      </c>
      <c r="P34" s="5">
        <f t="shared" si="24"/>
        <v>0</v>
      </c>
      <c r="Q34" s="5">
        <f t="shared" si="24"/>
        <v>720</v>
      </c>
      <c r="R34" s="5">
        <f t="shared" si="24"/>
        <v>3600</v>
      </c>
      <c r="S34" s="5">
        <f t="shared" si="24"/>
        <v>1530</v>
      </c>
      <c r="T34" s="5">
        <f t="shared" si="1"/>
        <v>47880</v>
      </c>
      <c r="U34" s="9"/>
    </row>
    <row r="35" spans="1:21" ht="23.1" customHeight="1">
      <c r="A35" s="1" t="s">
        <v>87</v>
      </c>
      <c r="B35" s="7" t="s">
        <v>88</v>
      </c>
      <c r="C35" s="7" t="s">
        <v>17</v>
      </c>
      <c r="D35" s="14" t="s">
        <v>18</v>
      </c>
      <c r="E35" s="8">
        <v>6900</v>
      </c>
      <c r="F35" s="8">
        <v>5100</v>
      </c>
      <c r="G35" s="8">
        <v>2580</v>
      </c>
      <c r="H35" s="8">
        <v>2160</v>
      </c>
      <c r="I35" s="8">
        <v>4200</v>
      </c>
      <c r="J35" s="8">
        <v>1800</v>
      </c>
      <c r="K35" s="8">
        <v>3600</v>
      </c>
      <c r="L35" s="8">
        <v>3150</v>
      </c>
      <c r="M35" s="8">
        <v>4320</v>
      </c>
      <c r="N35" s="8">
        <v>3240</v>
      </c>
      <c r="O35" s="8">
        <v>4980</v>
      </c>
      <c r="P35" s="8"/>
      <c r="Q35" s="8">
        <v>720</v>
      </c>
      <c r="R35" s="8">
        <f>300*12</f>
        <v>3600</v>
      </c>
      <c r="S35" s="8">
        <v>1530</v>
      </c>
      <c r="T35" s="5">
        <f t="shared" si="1"/>
        <v>47880</v>
      </c>
      <c r="U35" s="9"/>
    </row>
    <row r="36" spans="1:21" ht="23.1" customHeight="1">
      <c r="A36" s="1" t="s">
        <v>89</v>
      </c>
      <c r="B36" s="7" t="s">
        <v>90</v>
      </c>
      <c r="C36" s="7"/>
      <c r="D36" s="14" t="s">
        <v>11</v>
      </c>
      <c r="E36" s="5">
        <f>E37</f>
        <v>0</v>
      </c>
      <c r="F36" s="5">
        <f t="shared" ref="F36:S36" si="25">F37</f>
        <v>0</v>
      </c>
      <c r="G36" s="5">
        <f t="shared" si="25"/>
        <v>0</v>
      </c>
      <c r="H36" s="5">
        <f t="shared" si="25"/>
        <v>0</v>
      </c>
      <c r="I36" s="5">
        <f t="shared" si="25"/>
        <v>0</v>
      </c>
      <c r="J36" s="5">
        <f t="shared" si="25"/>
        <v>0</v>
      </c>
      <c r="K36" s="5">
        <f t="shared" si="25"/>
        <v>0</v>
      </c>
      <c r="L36" s="5">
        <f t="shared" si="25"/>
        <v>0</v>
      </c>
      <c r="M36" s="5">
        <f t="shared" si="25"/>
        <v>0</v>
      </c>
      <c r="N36" s="5">
        <f t="shared" si="25"/>
        <v>0</v>
      </c>
      <c r="O36" s="5">
        <f t="shared" si="25"/>
        <v>0</v>
      </c>
      <c r="P36" s="5">
        <f t="shared" si="25"/>
        <v>0</v>
      </c>
      <c r="Q36" s="5">
        <f t="shared" si="25"/>
        <v>0</v>
      </c>
      <c r="R36" s="5">
        <f t="shared" si="25"/>
        <v>0</v>
      </c>
      <c r="S36" s="5">
        <f t="shared" si="25"/>
        <v>0</v>
      </c>
      <c r="T36" s="5">
        <f t="shared" si="1"/>
        <v>0</v>
      </c>
      <c r="U36" s="9"/>
    </row>
    <row r="37" spans="1:21" ht="23.1" customHeight="1">
      <c r="A37" s="1" t="s">
        <v>91</v>
      </c>
      <c r="B37" s="7" t="s">
        <v>92</v>
      </c>
      <c r="C37" s="7" t="s">
        <v>17</v>
      </c>
      <c r="D37" s="3" t="s">
        <v>93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>
        <f t="shared" si="1"/>
        <v>0</v>
      </c>
      <c r="U37" s="3"/>
    </row>
    <row r="38" spans="1:21" ht="23.1" customHeight="1">
      <c r="A38" s="1" t="s">
        <v>94</v>
      </c>
      <c r="B38" s="7" t="s">
        <v>95</v>
      </c>
      <c r="C38" s="7"/>
      <c r="D38" s="14" t="s">
        <v>11</v>
      </c>
      <c r="E38" s="5">
        <f>E39+E41+E43+E45+E47+E50+E52+E54+E58</f>
        <v>7320752.71</v>
      </c>
      <c r="F38" s="5">
        <f t="shared" ref="F38:S38" si="26">F39+F41+F43+F45+F47+F50+F52+F54+F58</f>
        <v>4726973.1399999997</v>
      </c>
      <c r="G38" s="5">
        <f t="shared" si="26"/>
        <v>4376907.57</v>
      </c>
      <c r="H38" s="5">
        <f t="shared" si="26"/>
        <v>4660737.71</v>
      </c>
      <c r="I38" s="5">
        <f t="shared" si="26"/>
        <v>13074737.6</v>
      </c>
      <c r="J38" s="5">
        <f t="shared" si="26"/>
        <v>3358445.36</v>
      </c>
      <c r="K38" s="5">
        <f t="shared" si="26"/>
        <v>2696220.46</v>
      </c>
      <c r="L38" s="5">
        <f t="shared" si="26"/>
        <v>2527766.3699999996</v>
      </c>
      <c r="M38" s="5">
        <f t="shared" si="26"/>
        <v>2410037.1800000002</v>
      </c>
      <c r="N38" s="5">
        <f t="shared" si="26"/>
        <v>2145354.66</v>
      </c>
      <c r="O38" s="5">
        <f t="shared" si="26"/>
        <v>8232781.21</v>
      </c>
      <c r="P38" s="5">
        <f t="shared" si="26"/>
        <v>240553.14</v>
      </c>
      <c r="Q38" s="5">
        <f t="shared" si="26"/>
        <v>1099532.71</v>
      </c>
      <c r="R38" s="5">
        <f t="shared" si="26"/>
        <v>5517243.2700000005</v>
      </c>
      <c r="S38" s="5">
        <f t="shared" si="26"/>
        <v>1836271.94</v>
      </c>
      <c r="T38" s="5">
        <f t="shared" si="1"/>
        <v>64224315.029999994</v>
      </c>
      <c r="U38" s="9"/>
    </row>
    <row r="39" spans="1:21" ht="23.1" customHeight="1">
      <c r="A39" s="1" t="s">
        <v>96</v>
      </c>
      <c r="B39" s="7" t="s">
        <v>97</v>
      </c>
      <c r="C39" s="7"/>
      <c r="D39" s="14" t="s">
        <v>98</v>
      </c>
      <c r="E39" s="8">
        <v>4987250</v>
      </c>
      <c r="F39" s="8">
        <v>3538850</v>
      </c>
      <c r="G39" s="8">
        <v>2972830</v>
      </c>
      <c r="H39" s="8">
        <v>3223210</v>
      </c>
      <c r="I39" s="8">
        <v>10654480</v>
      </c>
      <c r="J39" s="8">
        <v>2642570</v>
      </c>
      <c r="K39" s="8">
        <v>1836100</v>
      </c>
      <c r="L39" s="8">
        <f>[2]生均公用定额标准!K32+[2]生均公用定额标准!K33+[2]生均公用定额标准!K34</f>
        <v>1859000</v>
      </c>
      <c r="M39" s="8">
        <v>1751700</v>
      </c>
      <c r="N39" s="8">
        <v>1561520</v>
      </c>
      <c r="O39" s="8">
        <v>6258240</v>
      </c>
      <c r="P39" s="8">
        <f>22400*5</f>
        <v>112000</v>
      </c>
      <c r="Q39" s="8">
        <f>[2]生均公用定额标准!K43</f>
        <v>858000</v>
      </c>
      <c r="R39" s="8">
        <v>4501350</v>
      </c>
      <c r="S39" s="8">
        <v>1397060</v>
      </c>
      <c r="T39" s="5">
        <f t="shared" si="1"/>
        <v>48154160</v>
      </c>
      <c r="U39" s="9"/>
    </row>
    <row r="40" spans="1:21" ht="23.1" customHeight="1">
      <c r="A40" s="1" t="s">
        <v>99</v>
      </c>
      <c r="B40" s="7" t="s">
        <v>100</v>
      </c>
      <c r="C40" s="7" t="s">
        <v>101</v>
      </c>
      <c r="D40" s="10" t="s">
        <v>102</v>
      </c>
      <c r="E40" s="8">
        <v>249362.5</v>
      </c>
      <c r="F40" s="8">
        <v>176942.5</v>
      </c>
      <c r="G40" s="8">
        <v>148641.5</v>
      </c>
      <c r="H40" s="8">
        <v>161160.5</v>
      </c>
      <c r="I40" s="8">
        <v>532724</v>
      </c>
      <c r="J40" s="8">
        <v>132128.5</v>
      </c>
      <c r="K40" s="8">
        <v>85656</v>
      </c>
      <c r="L40" s="8">
        <f>[2]生均公用定额标准!L32+[2]生均公用定额标准!L33+[2]生均公用定额标准!L34</f>
        <v>61776</v>
      </c>
      <c r="M40" s="8">
        <v>72141</v>
      </c>
      <c r="N40" s="8">
        <v>70640</v>
      </c>
      <c r="O40" s="8">
        <v>312912</v>
      </c>
      <c r="P40" s="8">
        <v>5600</v>
      </c>
      <c r="Q40" s="8">
        <f>[2]生均公用定额标准!L43</f>
        <v>35321</v>
      </c>
      <c r="R40" s="8">
        <v>225067.5</v>
      </c>
      <c r="S40" s="8">
        <v>61130</v>
      </c>
      <c r="T40" s="5">
        <f t="shared" si="1"/>
        <v>2331203</v>
      </c>
      <c r="U40" s="9"/>
    </row>
    <row r="41" spans="1:21" ht="23.1" customHeight="1">
      <c r="A41" s="1" t="s">
        <v>103</v>
      </c>
      <c r="B41" s="7" t="s">
        <v>104</v>
      </c>
      <c r="C41" s="7"/>
      <c r="D41" s="14"/>
      <c r="E41" s="5">
        <f>E42</f>
        <v>46000</v>
      </c>
      <c r="F41" s="5">
        <f t="shared" ref="F41:S41" si="27">F42</f>
        <v>28800</v>
      </c>
      <c r="G41" s="5">
        <f t="shared" si="27"/>
        <v>31200</v>
      </c>
      <c r="H41" s="5">
        <f t="shared" si="27"/>
        <v>37200</v>
      </c>
      <c r="I41" s="5">
        <f t="shared" si="27"/>
        <v>78400</v>
      </c>
      <c r="J41" s="5">
        <f t="shared" si="27"/>
        <v>23600</v>
      </c>
      <c r="K41" s="5">
        <f t="shared" si="27"/>
        <v>22400</v>
      </c>
      <c r="L41" s="5">
        <f t="shared" si="27"/>
        <v>18400</v>
      </c>
      <c r="M41" s="5">
        <f t="shared" si="27"/>
        <v>17200</v>
      </c>
      <c r="N41" s="5">
        <f t="shared" si="27"/>
        <v>17200</v>
      </c>
      <c r="O41" s="5">
        <f t="shared" si="27"/>
        <v>53200</v>
      </c>
      <c r="P41" s="5">
        <f t="shared" si="27"/>
        <v>2000</v>
      </c>
      <c r="Q41" s="5">
        <f t="shared" si="27"/>
        <v>6400</v>
      </c>
      <c r="R41" s="5">
        <f t="shared" si="27"/>
        <v>32400</v>
      </c>
      <c r="S41" s="5">
        <f t="shared" si="27"/>
        <v>12800</v>
      </c>
      <c r="T41" s="5">
        <f t="shared" si="1"/>
        <v>427200</v>
      </c>
      <c r="U41" s="9"/>
    </row>
    <row r="42" spans="1:21" s="13" customFormat="1" ht="23.1" customHeight="1">
      <c r="A42" s="1" t="s">
        <v>105</v>
      </c>
      <c r="B42" s="12" t="s">
        <v>106</v>
      </c>
      <c r="C42" s="12" t="s">
        <v>17</v>
      </c>
      <c r="D42" s="20" t="s">
        <v>107</v>
      </c>
      <c r="E42" s="5">
        <f>E61*400</f>
        <v>46000</v>
      </c>
      <c r="F42" s="5">
        <f t="shared" ref="F42:S42" si="28">F61*400</f>
        <v>28800</v>
      </c>
      <c r="G42" s="5">
        <f t="shared" si="28"/>
        <v>31200</v>
      </c>
      <c r="H42" s="5">
        <f t="shared" si="28"/>
        <v>37200</v>
      </c>
      <c r="I42" s="5">
        <f t="shared" si="28"/>
        <v>78400</v>
      </c>
      <c r="J42" s="5">
        <f t="shared" si="28"/>
        <v>23600</v>
      </c>
      <c r="K42" s="5">
        <f t="shared" si="28"/>
        <v>22400</v>
      </c>
      <c r="L42" s="5">
        <f t="shared" si="28"/>
        <v>18400</v>
      </c>
      <c r="M42" s="5">
        <f t="shared" si="28"/>
        <v>17200</v>
      </c>
      <c r="N42" s="5">
        <f t="shared" si="28"/>
        <v>17200</v>
      </c>
      <c r="O42" s="5">
        <f t="shared" si="28"/>
        <v>53200</v>
      </c>
      <c r="P42" s="5">
        <f t="shared" si="28"/>
        <v>2000</v>
      </c>
      <c r="Q42" s="5">
        <f t="shared" si="28"/>
        <v>6400</v>
      </c>
      <c r="R42" s="5">
        <f t="shared" si="28"/>
        <v>32400</v>
      </c>
      <c r="S42" s="5">
        <f t="shared" si="28"/>
        <v>12800</v>
      </c>
      <c r="T42" s="5">
        <f t="shared" si="1"/>
        <v>427200</v>
      </c>
      <c r="U42" s="9"/>
    </row>
    <row r="43" spans="1:21" ht="23.1" customHeight="1">
      <c r="A43" s="1" t="s">
        <v>108</v>
      </c>
      <c r="B43" s="7" t="s">
        <v>109</v>
      </c>
      <c r="C43" s="7"/>
      <c r="D43" s="14" t="s">
        <v>11</v>
      </c>
      <c r="E43" s="5">
        <f>E44</f>
        <v>489330</v>
      </c>
      <c r="F43" s="5">
        <f t="shared" ref="F43:S43" si="29">F44</f>
        <v>135690</v>
      </c>
      <c r="G43" s="5">
        <f t="shared" si="29"/>
        <v>204405</v>
      </c>
      <c r="H43" s="5">
        <f t="shared" si="29"/>
        <v>268530</v>
      </c>
      <c r="I43" s="5">
        <f t="shared" si="29"/>
        <v>386583.60000000003</v>
      </c>
      <c r="J43" s="5">
        <f t="shared" si="29"/>
        <v>196585.65</v>
      </c>
      <c r="K43" s="5">
        <f t="shared" si="29"/>
        <v>205953.60000000003</v>
      </c>
      <c r="L43" s="5">
        <f t="shared" si="29"/>
        <v>99419.4</v>
      </c>
      <c r="M43" s="5">
        <f t="shared" si="29"/>
        <v>172176.15</v>
      </c>
      <c r="N43" s="5">
        <f t="shared" si="29"/>
        <v>136753.79999999999</v>
      </c>
      <c r="O43" s="5">
        <f t="shared" si="29"/>
        <v>509998.35</v>
      </c>
      <c r="P43" s="5">
        <f t="shared" si="29"/>
        <v>34500</v>
      </c>
      <c r="Q43" s="5">
        <f t="shared" si="29"/>
        <v>65355</v>
      </c>
      <c r="R43" s="5">
        <f t="shared" si="29"/>
        <v>199268.7</v>
      </c>
      <c r="S43" s="5">
        <f t="shared" si="29"/>
        <v>59392.800000000003</v>
      </c>
      <c r="T43" s="5">
        <f t="shared" si="1"/>
        <v>3163942.05</v>
      </c>
      <c r="U43" s="9"/>
    </row>
    <row r="44" spans="1:21" s="13" customFormat="1" ht="23.1" customHeight="1">
      <c r="A44" s="1" t="s">
        <v>110</v>
      </c>
      <c r="B44" s="12" t="s">
        <v>111</v>
      </c>
      <c r="C44" s="12" t="s">
        <v>17</v>
      </c>
      <c r="D44" s="20" t="s">
        <v>112</v>
      </c>
      <c r="E44" s="5">
        <f>E72*15</f>
        <v>489330</v>
      </c>
      <c r="F44" s="5">
        <f t="shared" ref="F44:S44" si="30">F72*15</f>
        <v>135690</v>
      </c>
      <c r="G44" s="5">
        <f t="shared" si="30"/>
        <v>204405</v>
      </c>
      <c r="H44" s="5">
        <f t="shared" si="30"/>
        <v>268530</v>
      </c>
      <c r="I44" s="5">
        <f t="shared" si="30"/>
        <v>386583.60000000003</v>
      </c>
      <c r="J44" s="5">
        <f t="shared" si="30"/>
        <v>196585.65</v>
      </c>
      <c r="K44" s="5">
        <f t="shared" si="30"/>
        <v>205953.60000000003</v>
      </c>
      <c r="L44" s="5">
        <f t="shared" si="30"/>
        <v>99419.4</v>
      </c>
      <c r="M44" s="5">
        <f t="shared" si="30"/>
        <v>172176.15</v>
      </c>
      <c r="N44" s="5">
        <f t="shared" si="30"/>
        <v>136753.79999999999</v>
      </c>
      <c r="O44" s="5">
        <f t="shared" si="30"/>
        <v>509998.35</v>
      </c>
      <c r="P44" s="5">
        <f t="shared" si="30"/>
        <v>34500</v>
      </c>
      <c r="Q44" s="5">
        <f t="shared" si="30"/>
        <v>65355</v>
      </c>
      <c r="R44" s="5">
        <f t="shared" si="30"/>
        <v>199268.7</v>
      </c>
      <c r="S44" s="5">
        <f t="shared" si="30"/>
        <v>59392.800000000003</v>
      </c>
      <c r="T44" s="5">
        <f t="shared" si="1"/>
        <v>3163942.05</v>
      </c>
      <c r="U44" s="9"/>
    </row>
    <row r="45" spans="1:21" ht="23.1" customHeight="1">
      <c r="A45" s="1" t="s">
        <v>113</v>
      </c>
      <c r="B45" s="7" t="s">
        <v>114</v>
      </c>
      <c r="C45" s="7"/>
      <c r="D45" s="14" t="s">
        <v>11</v>
      </c>
      <c r="E45" s="5">
        <f>E46</f>
        <v>238592</v>
      </c>
      <c r="F45" s="5">
        <f t="shared" ref="F45:S45" si="31">F46</f>
        <v>69296</v>
      </c>
      <c r="G45" s="5">
        <f t="shared" si="31"/>
        <v>64000</v>
      </c>
      <c r="H45" s="5">
        <f t="shared" si="31"/>
        <v>64000</v>
      </c>
      <c r="I45" s="5">
        <f t="shared" si="31"/>
        <v>126840</v>
      </c>
      <c r="J45" s="5">
        <f t="shared" si="31"/>
        <v>37352</v>
      </c>
      <c r="K45" s="5">
        <f t="shared" si="31"/>
        <v>51136</v>
      </c>
      <c r="L45" s="5">
        <f t="shared" si="31"/>
        <v>37310.400000000001</v>
      </c>
      <c r="M45" s="5">
        <f t="shared" si="31"/>
        <v>52681.599999999999</v>
      </c>
      <c r="N45" s="5">
        <f t="shared" si="31"/>
        <v>24480</v>
      </c>
      <c r="O45" s="5">
        <f t="shared" si="31"/>
        <v>168480</v>
      </c>
      <c r="P45" s="5">
        <f t="shared" si="31"/>
        <v>0</v>
      </c>
      <c r="Q45" s="5">
        <f t="shared" si="31"/>
        <v>12040</v>
      </c>
      <c r="R45" s="5">
        <f t="shared" si="31"/>
        <v>54272</v>
      </c>
      <c r="S45" s="5">
        <f t="shared" si="31"/>
        <v>32104</v>
      </c>
      <c r="T45" s="5">
        <f t="shared" si="1"/>
        <v>1032584</v>
      </c>
      <c r="U45" s="9"/>
    </row>
    <row r="46" spans="1:21" s="13" customFormat="1" ht="23.1" customHeight="1">
      <c r="A46" s="1" t="s">
        <v>115</v>
      </c>
      <c r="B46" s="12" t="s">
        <v>116</v>
      </c>
      <c r="C46" s="12" t="s">
        <v>17</v>
      </c>
      <c r="D46" s="20" t="s">
        <v>117</v>
      </c>
      <c r="E46" s="5">
        <f>E73*8</f>
        <v>238592</v>
      </c>
      <c r="F46" s="5">
        <f t="shared" ref="F46:S46" si="32">F73*8</f>
        <v>69296</v>
      </c>
      <c r="G46" s="5">
        <f t="shared" si="32"/>
        <v>64000</v>
      </c>
      <c r="H46" s="5">
        <f t="shared" si="32"/>
        <v>64000</v>
      </c>
      <c r="I46" s="5">
        <f t="shared" si="32"/>
        <v>126840</v>
      </c>
      <c r="J46" s="5">
        <f t="shared" si="32"/>
        <v>37352</v>
      </c>
      <c r="K46" s="5">
        <f t="shared" si="32"/>
        <v>51136</v>
      </c>
      <c r="L46" s="5">
        <f t="shared" si="32"/>
        <v>37310.400000000001</v>
      </c>
      <c r="M46" s="5">
        <f t="shared" si="32"/>
        <v>52681.599999999999</v>
      </c>
      <c r="N46" s="5">
        <f t="shared" si="32"/>
        <v>24480</v>
      </c>
      <c r="O46" s="5">
        <f t="shared" si="32"/>
        <v>168480</v>
      </c>
      <c r="P46" s="5">
        <f t="shared" si="32"/>
        <v>0</v>
      </c>
      <c r="Q46" s="5">
        <f t="shared" si="32"/>
        <v>12040</v>
      </c>
      <c r="R46" s="5">
        <f t="shared" si="32"/>
        <v>54272</v>
      </c>
      <c r="S46" s="5">
        <f t="shared" si="32"/>
        <v>32104</v>
      </c>
      <c r="T46" s="5">
        <f t="shared" si="1"/>
        <v>1032584</v>
      </c>
      <c r="U46" s="9"/>
    </row>
    <row r="47" spans="1:21" ht="23.1" customHeight="1">
      <c r="A47" s="1" t="s">
        <v>118</v>
      </c>
      <c r="B47" s="7" t="s">
        <v>119</v>
      </c>
      <c r="C47" s="7"/>
      <c r="D47" s="14" t="s">
        <v>11</v>
      </c>
      <c r="E47" s="5">
        <f>E48+E49</f>
        <v>881280</v>
      </c>
      <c r="F47" s="5">
        <f t="shared" ref="F47:S47" si="33">F48+F49</f>
        <v>535680</v>
      </c>
      <c r="G47" s="5">
        <f t="shared" si="33"/>
        <v>669600</v>
      </c>
      <c r="H47" s="5">
        <f t="shared" si="33"/>
        <v>596160</v>
      </c>
      <c r="I47" s="5">
        <f t="shared" si="33"/>
        <v>920160</v>
      </c>
      <c r="J47" s="5">
        <f t="shared" si="33"/>
        <v>254880</v>
      </c>
      <c r="K47" s="5">
        <f t="shared" si="33"/>
        <v>293760</v>
      </c>
      <c r="L47" s="5">
        <f t="shared" si="33"/>
        <v>276480</v>
      </c>
      <c r="M47" s="5">
        <f t="shared" si="33"/>
        <v>203040</v>
      </c>
      <c r="N47" s="5">
        <f t="shared" si="33"/>
        <v>190080</v>
      </c>
      <c r="O47" s="5">
        <f t="shared" si="33"/>
        <v>587520</v>
      </c>
      <c r="P47" s="5">
        <f t="shared" si="33"/>
        <v>34560</v>
      </c>
      <c r="Q47" s="5">
        <f t="shared" si="33"/>
        <v>69120</v>
      </c>
      <c r="R47" s="5">
        <f t="shared" si="33"/>
        <v>367200</v>
      </c>
      <c r="S47" s="5">
        <f t="shared" si="33"/>
        <v>177120</v>
      </c>
      <c r="T47" s="5">
        <f t="shared" si="1"/>
        <v>6056640</v>
      </c>
      <c r="U47" s="9"/>
    </row>
    <row r="48" spans="1:21" s="13" customFormat="1" ht="23.1" customHeight="1">
      <c r="A48" s="1" t="s">
        <v>120</v>
      </c>
      <c r="B48" s="12" t="s">
        <v>121</v>
      </c>
      <c r="C48" s="12" t="s">
        <v>17</v>
      </c>
      <c r="D48" s="20" t="s">
        <v>122</v>
      </c>
      <c r="E48" s="5">
        <f>E61*4320</f>
        <v>496800</v>
      </c>
      <c r="F48" s="5">
        <f t="shared" ref="F48:S48" si="34">F61*4320</f>
        <v>311040</v>
      </c>
      <c r="G48" s="5">
        <f t="shared" si="34"/>
        <v>336960</v>
      </c>
      <c r="H48" s="5">
        <f t="shared" si="34"/>
        <v>401760</v>
      </c>
      <c r="I48" s="5">
        <f t="shared" si="34"/>
        <v>846720</v>
      </c>
      <c r="J48" s="5">
        <f t="shared" si="34"/>
        <v>254880</v>
      </c>
      <c r="K48" s="5">
        <f t="shared" si="34"/>
        <v>241920</v>
      </c>
      <c r="L48" s="5">
        <f t="shared" si="34"/>
        <v>198720</v>
      </c>
      <c r="M48" s="5">
        <f t="shared" si="34"/>
        <v>185760</v>
      </c>
      <c r="N48" s="5">
        <f t="shared" si="34"/>
        <v>185760</v>
      </c>
      <c r="O48" s="5">
        <f t="shared" si="34"/>
        <v>574560</v>
      </c>
      <c r="P48" s="5">
        <f t="shared" si="34"/>
        <v>21600</v>
      </c>
      <c r="Q48" s="5">
        <f t="shared" si="34"/>
        <v>69120</v>
      </c>
      <c r="R48" s="5">
        <f t="shared" si="34"/>
        <v>349920</v>
      </c>
      <c r="S48" s="5">
        <f t="shared" si="34"/>
        <v>138240</v>
      </c>
      <c r="T48" s="5">
        <f t="shared" si="1"/>
        <v>4613760</v>
      </c>
      <c r="U48" s="9"/>
    </row>
    <row r="49" spans="1:21" s="13" customFormat="1" ht="23.1" customHeight="1">
      <c r="A49" s="1" t="s">
        <v>123</v>
      </c>
      <c r="B49" s="12" t="s">
        <v>124</v>
      </c>
      <c r="C49" s="12" t="s">
        <v>17</v>
      </c>
      <c r="D49" s="20" t="s">
        <v>125</v>
      </c>
      <c r="E49" s="5">
        <f>E71*4320</f>
        <v>384480</v>
      </c>
      <c r="F49" s="5">
        <f t="shared" ref="F49:S49" si="35">F71*4320</f>
        <v>224640</v>
      </c>
      <c r="G49" s="5">
        <f t="shared" si="35"/>
        <v>332640</v>
      </c>
      <c r="H49" s="5">
        <f t="shared" si="35"/>
        <v>194400</v>
      </c>
      <c r="I49" s="5">
        <f t="shared" si="35"/>
        <v>73440</v>
      </c>
      <c r="J49" s="5">
        <f t="shared" si="35"/>
        <v>0</v>
      </c>
      <c r="K49" s="5">
        <f t="shared" si="35"/>
        <v>51840</v>
      </c>
      <c r="L49" s="5">
        <f t="shared" si="35"/>
        <v>77760</v>
      </c>
      <c r="M49" s="5">
        <f t="shared" si="35"/>
        <v>17280</v>
      </c>
      <c r="N49" s="5">
        <f t="shared" si="35"/>
        <v>4320</v>
      </c>
      <c r="O49" s="5">
        <f t="shared" si="35"/>
        <v>12960</v>
      </c>
      <c r="P49" s="5">
        <f t="shared" si="35"/>
        <v>12960</v>
      </c>
      <c r="Q49" s="5">
        <f t="shared" si="35"/>
        <v>0</v>
      </c>
      <c r="R49" s="5">
        <f t="shared" si="35"/>
        <v>17280</v>
      </c>
      <c r="S49" s="5">
        <f t="shared" si="35"/>
        <v>38880</v>
      </c>
      <c r="T49" s="5">
        <f t="shared" si="1"/>
        <v>1442880</v>
      </c>
      <c r="U49" s="9"/>
    </row>
    <row r="50" spans="1:21" ht="23.1" customHeight="1">
      <c r="A50" s="1" t="s">
        <v>126</v>
      </c>
      <c r="B50" s="7" t="s">
        <v>127</v>
      </c>
      <c r="C50" s="7"/>
      <c r="D50" s="14" t="s">
        <v>11</v>
      </c>
      <c r="E50" s="5">
        <f>E51</f>
        <v>604325.71</v>
      </c>
      <c r="F50" s="5">
        <f t="shared" ref="F50:S50" si="36">F51</f>
        <v>362857.14</v>
      </c>
      <c r="G50" s="5">
        <f t="shared" si="36"/>
        <v>371072.57</v>
      </c>
      <c r="H50" s="5">
        <f t="shared" si="36"/>
        <v>417937.71</v>
      </c>
      <c r="I50" s="5">
        <f t="shared" si="36"/>
        <v>832924</v>
      </c>
      <c r="J50" s="5">
        <f t="shared" si="36"/>
        <v>166457.71</v>
      </c>
      <c r="K50" s="5">
        <f t="shared" si="36"/>
        <v>245570.86</v>
      </c>
      <c r="L50" s="5">
        <f t="shared" si="36"/>
        <v>194356.57</v>
      </c>
      <c r="M50" s="5">
        <f t="shared" si="36"/>
        <v>174939.43</v>
      </c>
      <c r="N50" s="5">
        <f t="shared" si="36"/>
        <v>180570.86</v>
      </c>
      <c r="O50" s="5">
        <f t="shared" si="36"/>
        <v>617142.86</v>
      </c>
      <c r="P50" s="5">
        <f t="shared" si="36"/>
        <v>24293.14</v>
      </c>
      <c r="Q50" s="5">
        <f t="shared" si="36"/>
        <v>54617.71</v>
      </c>
      <c r="R50" s="5">
        <f t="shared" si="36"/>
        <v>327152.57</v>
      </c>
      <c r="S50" s="5">
        <f t="shared" si="36"/>
        <v>119195.14</v>
      </c>
      <c r="T50" s="5">
        <f t="shared" si="1"/>
        <v>4693413.9799999995</v>
      </c>
      <c r="U50" s="9"/>
    </row>
    <row r="51" spans="1:21" s="13" customFormat="1" ht="23.1" customHeight="1">
      <c r="A51" s="1" t="s">
        <v>128</v>
      </c>
      <c r="B51" s="12" t="s">
        <v>129</v>
      </c>
      <c r="C51" s="12" t="s">
        <v>17</v>
      </c>
      <c r="D51" s="9" t="s">
        <v>34</v>
      </c>
      <c r="E51" s="5">
        <f>ROUND(E29/0.07*0.02,2)</f>
        <v>604325.71</v>
      </c>
      <c r="F51" s="5">
        <f t="shared" ref="F51:S51" si="37">ROUND(F29/0.07*0.02,2)</f>
        <v>362857.14</v>
      </c>
      <c r="G51" s="5">
        <f t="shared" si="37"/>
        <v>371072.57</v>
      </c>
      <c r="H51" s="5">
        <f t="shared" si="37"/>
        <v>417937.71</v>
      </c>
      <c r="I51" s="5">
        <f t="shared" si="37"/>
        <v>832924</v>
      </c>
      <c r="J51" s="5">
        <f t="shared" si="37"/>
        <v>166457.71</v>
      </c>
      <c r="K51" s="5">
        <f t="shared" si="37"/>
        <v>245570.86</v>
      </c>
      <c r="L51" s="5">
        <f t="shared" si="37"/>
        <v>194356.57</v>
      </c>
      <c r="M51" s="5">
        <f t="shared" si="37"/>
        <v>174939.43</v>
      </c>
      <c r="N51" s="5">
        <f t="shared" si="37"/>
        <v>180570.86</v>
      </c>
      <c r="O51" s="5">
        <f t="shared" si="37"/>
        <v>617142.86</v>
      </c>
      <c r="P51" s="5">
        <f t="shared" si="37"/>
        <v>24293.14</v>
      </c>
      <c r="Q51" s="5">
        <f t="shared" si="37"/>
        <v>54617.71</v>
      </c>
      <c r="R51" s="5">
        <f t="shared" si="37"/>
        <v>327152.57</v>
      </c>
      <c r="S51" s="5">
        <f t="shared" si="37"/>
        <v>119195.14</v>
      </c>
      <c r="T51" s="5">
        <f t="shared" si="1"/>
        <v>4693413.9799999995</v>
      </c>
      <c r="U51" s="9"/>
    </row>
    <row r="52" spans="1:21" ht="23.1" customHeight="1">
      <c r="A52" s="1" t="s">
        <v>130</v>
      </c>
      <c r="B52" s="7" t="s">
        <v>131</v>
      </c>
      <c r="C52" s="7"/>
      <c r="D52" s="14" t="s">
        <v>11</v>
      </c>
      <c r="E52" s="5">
        <f>E53</f>
        <v>32000</v>
      </c>
      <c r="F52" s="5">
        <f t="shared" ref="F52:S52" si="38">F53</f>
        <v>32000</v>
      </c>
      <c r="G52" s="5">
        <f t="shared" si="38"/>
        <v>32000</v>
      </c>
      <c r="H52" s="5">
        <f t="shared" si="38"/>
        <v>32000</v>
      </c>
      <c r="I52" s="5">
        <f t="shared" si="38"/>
        <v>64000</v>
      </c>
      <c r="J52" s="5">
        <f t="shared" si="38"/>
        <v>0</v>
      </c>
      <c r="K52" s="5">
        <f t="shared" si="38"/>
        <v>32000</v>
      </c>
      <c r="L52" s="5">
        <f t="shared" si="38"/>
        <v>32000</v>
      </c>
      <c r="M52" s="5">
        <f t="shared" si="38"/>
        <v>0</v>
      </c>
      <c r="N52" s="5">
        <f t="shared" si="38"/>
        <v>0</v>
      </c>
      <c r="O52" s="5">
        <f t="shared" si="38"/>
        <v>32000</v>
      </c>
      <c r="P52" s="5">
        <f t="shared" si="38"/>
        <v>32000</v>
      </c>
      <c r="Q52" s="5">
        <f t="shared" si="38"/>
        <v>0</v>
      </c>
      <c r="R52" s="5">
        <f t="shared" si="38"/>
        <v>0</v>
      </c>
      <c r="S52" s="5">
        <f t="shared" si="38"/>
        <v>0</v>
      </c>
      <c r="T52" s="5">
        <f t="shared" si="1"/>
        <v>320000</v>
      </c>
      <c r="U52" s="9"/>
    </row>
    <row r="53" spans="1:21" ht="23.1" customHeight="1">
      <c r="A53" s="1" t="s">
        <v>132</v>
      </c>
      <c r="B53" s="7" t="s">
        <v>133</v>
      </c>
      <c r="C53" s="7" t="s">
        <v>17</v>
      </c>
      <c r="D53" s="10" t="s">
        <v>134</v>
      </c>
      <c r="E53" s="8">
        <v>32000</v>
      </c>
      <c r="F53" s="8">
        <v>32000</v>
      </c>
      <c r="G53" s="8">
        <v>32000</v>
      </c>
      <c r="H53" s="8">
        <v>32000</v>
      </c>
      <c r="I53" s="8">
        <v>64000</v>
      </c>
      <c r="J53" s="8"/>
      <c r="K53" s="8">
        <v>32000</v>
      </c>
      <c r="L53" s="8">
        <v>32000</v>
      </c>
      <c r="M53" s="8"/>
      <c r="N53" s="8"/>
      <c r="O53" s="8">
        <v>32000</v>
      </c>
      <c r="P53" s="8">
        <v>32000</v>
      </c>
      <c r="Q53" s="8"/>
      <c r="R53" s="8"/>
      <c r="S53" s="8"/>
      <c r="T53" s="5">
        <f t="shared" si="1"/>
        <v>320000</v>
      </c>
      <c r="U53" s="9"/>
    </row>
    <row r="54" spans="1:21" ht="23.1" customHeight="1">
      <c r="A54" s="1" t="s">
        <v>135</v>
      </c>
      <c r="B54" s="7" t="s">
        <v>136</v>
      </c>
      <c r="C54" s="7"/>
      <c r="D54" s="14" t="s">
        <v>11</v>
      </c>
      <c r="E54" s="5">
        <f>E55+E57</f>
        <v>41975</v>
      </c>
      <c r="F54" s="5">
        <f t="shared" ref="F54:S54" si="39">F55+F57</f>
        <v>23800</v>
      </c>
      <c r="G54" s="5">
        <f t="shared" si="39"/>
        <v>31800</v>
      </c>
      <c r="H54" s="5">
        <f t="shared" si="39"/>
        <v>21700</v>
      </c>
      <c r="I54" s="5">
        <f t="shared" si="39"/>
        <v>11350</v>
      </c>
      <c r="J54" s="5">
        <f t="shared" si="39"/>
        <v>5000</v>
      </c>
      <c r="K54" s="5">
        <f t="shared" si="39"/>
        <v>9300</v>
      </c>
      <c r="L54" s="5">
        <f t="shared" si="39"/>
        <v>10800</v>
      </c>
      <c r="M54" s="5">
        <f t="shared" si="39"/>
        <v>6300</v>
      </c>
      <c r="N54" s="5">
        <f t="shared" si="39"/>
        <v>2750</v>
      </c>
      <c r="O54" s="5">
        <f t="shared" si="39"/>
        <v>6200</v>
      </c>
      <c r="P54" s="5">
        <f t="shared" si="39"/>
        <v>1200</v>
      </c>
      <c r="Q54" s="5">
        <f t="shared" si="39"/>
        <v>2000</v>
      </c>
      <c r="R54" s="5">
        <f t="shared" si="39"/>
        <v>3600</v>
      </c>
      <c r="S54" s="5">
        <f t="shared" si="39"/>
        <v>6600</v>
      </c>
      <c r="T54" s="5">
        <f t="shared" si="1"/>
        <v>184375</v>
      </c>
      <c r="U54" s="9"/>
    </row>
    <row r="55" spans="1:21" ht="23.1" customHeight="1">
      <c r="A55" s="1" t="s">
        <v>137</v>
      </c>
      <c r="B55" s="7" t="s">
        <v>138</v>
      </c>
      <c r="C55" s="7" t="s">
        <v>17</v>
      </c>
      <c r="D55" s="14" t="s">
        <v>11</v>
      </c>
      <c r="E55" s="5">
        <f>E56</f>
        <v>35600</v>
      </c>
      <c r="F55" s="5">
        <f t="shared" ref="F55:S55" si="40">F56</f>
        <v>20800</v>
      </c>
      <c r="G55" s="5">
        <f t="shared" si="40"/>
        <v>30800</v>
      </c>
      <c r="H55" s="5">
        <f t="shared" si="40"/>
        <v>18000</v>
      </c>
      <c r="I55" s="5">
        <f t="shared" si="40"/>
        <v>6800</v>
      </c>
      <c r="J55" s="5">
        <f t="shared" si="40"/>
        <v>0</v>
      </c>
      <c r="K55" s="5">
        <f t="shared" si="40"/>
        <v>4800</v>
      </c>
      <c r="L55" s="5">
        <f t="shared" si="40"/>
        <v>7200</v>
      </c>
      <c r="M55" s="5">
        <f t="shared" si="40"/>
        <v>1600</v>
      </c>
      <c r="N55" s="5">
        <f t="shared" si="40"/>
        <v>400</v>
      </c>
      <c r="O55" s="5">
        <f t="shared" si="40"/>
        <v>1200</v>
      </c>
      <c r="P55" s="5">
        <f t="shared" si="40"/>
        <v>1200</v>
      </c>
      <c r="Q55" s="5">
        <f t="shared" si="40"/>
        <v>0</v>
      </c>
      <c r="R55" s="5">
        <f t="shared" si="40"/>
        <v>1600</v>
      </c>
      <c r="S55" s="5">
        <f t="shared" si="40"/>
        <v>3600</v>
      </c>
      <c r="T55" s="5">
        <f t="shared" si="1"/>
        <v>133600</v>
      </c>
      <c r="U55" s="9"/>
    </row>
    <row r="56" spans="1:21" s="13" customFormat="1" ht="23.1" customHeight="1">
      <c r="A56" s="1" t="s">
        <v>139</v>
      </c>
      <c r="B56" s="12" t="s">
        <v>140</v>
      </c>
      <c r="C56" s="12" t="s">
        <v>17</v>
      </c>
      <c r="D56" s="20" t="s">
        <v>141</v>
      </c>
      <c r="E56" s="5">
        <f>E71*400</f>
        <v>35600</v>
      </c>
      <c r="F56" s="5">
        <f t="shared" ref="F56:S56" si="41">F71*400</f>
        <v>20800</v>
      </c>
      <c r="G56" s="5">
        <f t="shared" si="41"/>
        <v>30800</v>
      </c>
      <c r="H56" s="5">
        <f t="shared" si="41"/>
        <v>18000</v>
      </c>
      <c r="I56" s="5">
        <f t="shared" si="41"/>
        <v>6800</v>
      </c>
      <c r="J56" s="5">
        <f t="shared" si="41"/>
        <v>0</v>
      </c>
      <c r="K56" s="5">
        <f t="shared" si="41"/>
        <v>4800</v>
      </c>
      <c r="L56" s="5">
        <f t="shared" si="41"/>
        <v>7200</v>
      </c>
      <c r="M56" s="5">
        <f t="shared" si="41"/>
        <v>1600</v>
      </c>
      <c r="N56" s="5">
        <f t="shared" si="41"/>
        <v>400</v>
      </c>
      <c r="O56" s="5">
        <f t="shared" si="41"/>
        <v>1200</v>
      </c>
      <c r="P56" s="5">
        <f t="shared" si="41"/>
        <v>1200</v>
      </c>
      <c r="Q56" s="5">
        <f t="shared" si="41"/>
        <v>0</v>
      </c>
      <c r="R56" s="5">
        <f t="shared" si="41"/>
        <v>1600</v>
      </c>
      <c r="S56" s="5">
        <f t="shared" si="41"/>
        <v>3600</v>
      </c>
      <c r="T56" s="5">
        <f t="shared" si="1"/>
        <v>133600</v>
      </c>
      <c r="U56" s="9"/>
    </row>
    <row r="57" spans="1:21" ht="23.1" customHeight="1">
      <c r="A57" s="1" t="s">
        <v>142</v>
      </c>
      <c r="B57" s="7" t="s">
        <v>143</v>
      </c>
      <c r="C57" s="7" t="s">
        <v>17</v>
      </c>
      <c r="D57" s="10" t="s">
        <v>144</v>
      </c>
      <c r="E57" s="21">
        <v>6375</v>
      </c>
      <c r="F57" s="21">
        <v>3000</v>
      </c>
      <c r="G57" s="21">
        <v>1000</v>
      </c>
      <c r="H57" s="21">
        <v>3700</v>
      </c>
      <c r="I57" s="21">
        <v>4550</v>
      </c>
      <c r="J57" s="21">
        <v>5000</v>
      </c>
      <c r="K57" s="21">
        <v>4500</v>
      </c>
      <c r="L57" s="21">
        <v>3600</v>
      </c>
      <c r="M57" s="21">
        <v>4700</v>
      </c>
      <c r="N57" s="21">
        <v>2350</v>
      </c>
      <c r="O57" s="21">
        <v>5000</v>
      </c>
      <c r="P57" s="21"/>
      <c r="Q57" s="21">
        <v>2000</v>
      </c>
      <c r="R57" s="21">
        <v>2000</v>
      </c>
      <c r="S57" s="21">
        <v>3000</v>
      </c>
      <c r="T57" s="5">
        <f t="shared" si="1"/>
        <v>50775</v>
      </c>
      <c r="U57" s="3"/>
    </row>
    <row r="58" spans="1:21" ht="23.1" customHeight="1">
      <c r="A58" s="1" t="s">
        <v>145</v>
      </c>
      <c r="B58" s="7" t="s">
        <v>146</v>
      </c>
      <c r="C58" s="7"/>
      <c r="D58" s="14" t="s">
        <v>11</v>
      </c>
      <c r="E58" s="5">
        <f>E59</f>
        <v>0</v>
      </c>
      <c r="F58" s="5">
        <f t="shared" ref="F58:S58" si="42">F59</f>
        <v>0</v>
      </c>
      <c r="G58" s="5">
        <f t="shared" si="42"/>
        <v>0</v>
      </c>
      <c r="H58" s="5">
        <f t="shared" si="42"/>
        <v>0</v>
      </c>
      <c r="I58" s="5">
        <f t="shared" si="42"/>
        <v>0</v>
      </c>
      <c r="J58" s="5">
        <f t="shared" si="42"/>
        <v>32000</v>
      </c>
      <c r="K58" s="5">
        <f t="shared" si="42"/>
        <v>0</v>
      </c>
      <c r="L58" s="5">
        <f t="shared" si="42"/>
        <v>0</v>
      </c>
      <c r="M58" s="5">
        <f t="shared" si="42"/>
        <v>32000</v>
      </c>
      <c r="N58" s="5">
        <f t="shared" si="42"/>
        <v>32000</v>
      </c>
      <c r="O58" s="5">
        <f t="shared" si="42"/>
        <v>0</v>
      </c>
      <c r="P58" s="5">
        <f t="shared" si="42"/>
        <v>0</v>
      </c>
      <c r="Q58" s="5">
        <f t="shared" si="42"/>
        <v>32000</v>
      </c>
      <c r="R58" s="5">
        <f t="shared" si="42"/>
        <v>32000</v>
      </c>
      <c r="S58" s="5">
        <f t="shared" si="42"/>
        <v>32000</v>
      </c>
      <c r="T58" s="5">
        <f t="shared" si="1"/>
        <v>192000</v>
      </c>
      <c r="U58" s="9"/>
    </row>
    <row r="59" spans="1:21" ht="23.1" customHeight="1" thickBot="1">
      <c r="A59" s="1" t="s">
        <v>147</v>
      </c>
      <c r="B59" s="22" t="s">
        <v>148</v>
      </c>
      <c r="C59" s="7" t="s">
        <v>17</v>
      </c>
      <c r="D59" s="23" t="s">
        <v>149</v>
      </c>
      <c r="E59" s="11"/>
      <c r="F59" s="11"/>
      <c r="G59" s="11"/>
      <c r="H59" s="11"/>
      <c r="I59" s="11"/>
      <c r="J59" s="11">
        <v>32000</v>
      </c>
      <c r="K59" s="11"/>
      <c r="L59" s="11"/>
      <c r="M59" s="11">
        <v>32000</v>
      </c>
      <c r="N59" s="11">
        <v>32000</v>
      </c>
      <c r="O59" s="11"/>
      <c r="P59" s="11"/>
      <c r="Q59" s="11">
        <v>32000</v>
      </c>
      <c r="R59" s="11">
        <v>32000</v>
      </c>
      <c r="S59" s="11">
        <v>32000</v>
      </c>
      <c r="T59" s="5">
        <f t="shared" si="1"/>
        <v>192000</v>
      </c>
      <c r="U59" s="24"/>
    </row>
    <row r="60" spans="1:21" ht="23.1" customHeight="1" thickTop="1">
      <c r="A60" s="1" t="s">
        <v>150</v>
      </c>
      <c r="B60" s="25" t="s">
        <v>151</v>
      </c>
      <c r="C60" s="25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5">
        <f t="shared" si="1"/>
        <v>0</v>
      </c>
      <c r="U60" s="28"/>
    </row>
    <row r="61" spans="1:21" ht="23.1" customHeight="1">
      <c r="A61" s="1" t="s">
        <v>152</v>
      </c>
      <c r="B61" s="7" t="s">
        <v>153</v>
      </c>
      <c r="C61" s="7"/>
      <c r="D61" s="14" t="s">
        <v>154</v>
      </c>
      <c r="E61" s="5">
        <f>E62+E63+E64+E65</f>
        <v>115</v>
      </c>
      <c r="F61" s="5">
        <f t="shared" ref="F61:S61" si="43">F62+F63+F64+F65</f>
        <v>72</v>
      </c>
      <c r="G61" s="5">
        <f t="shared" si="43"/>
        <v>78</v>
      </c>
      <c r="H61" s="5">
        <f t="shared" si="43"/>
        <v>93</v>
      </c>
      <c r="I61" s="5">
        <f t="shared" si="43"/>
        <v>196</v>
      </c>
      <c r="J61" s="5">
        <f t="shared" si="43"/>
        <v>59</v>
      </c>
      <c r="K61" s="5">
        <f t="shared" si="43"/>
        <v>56</v>
      </c>
      <c r="L61" s="5">
        <f t="shared" si="43"/>
        <v>46</v>
      </c>
      <c r="M61" s="5">
        <f t="shared" si="43"/>
        <v>43</v>
      </c>
      <c r="N61" s="5">
        <f t="shared" si="43"/>
        <v>43</v>
      </c>
      <c r="O61" s="5">
        <f t="shared" si="43"/>
        <v>133</v>
      </c>
      <c r="P61" s="5">
        <f t="shared" si="43"/>
        <v>5</v>
      </c>
      <c r="Q61" s="5">
        <f t="shared" si="43"/>
        <v>16</v>
      </c>
      <c r="R61" s="5">
        <f t="shared" si="43"/>
        <v>81</v>
      </c>
      <c r="S61" s="5">
        <f t="shared" si="43"/>
        <v>32</v>
      </c>
      <c r="T61" s="5">
        <f t="shared" si="1"/>
        <v>1068</v>
      </c>
      <c r="U61" s="9"/>
    </row>
    <row r="62" spans="1:21" ht="23.1" customHeight="1">
      <c r="A62" s="1" t="s">
        <v>155</v>
      </c>
      <c r="B62" s="29" t="s">
        <v>156</v>
      </c>
      <c r="C62" s="29"/>
      <c r="D62" s="3"/>
      <c r="E62" s="4">
        <v>115</v>
      </c>
      <c r="F62" s="4">
        <v>72</v>
      </c>
      <c r="G62" s="4"/>
      <c r="H62" s="4"/>
      <c r="I62" s="4"/>
      <c r="J62" s="4"/>
      <c r="K62" s="4"/>
      <c r="L62" s="4"/>
      <c r="M62" s="4"/>
      <c r="N62" s="4"/>
      <c r="O62" s="4">
        <v>64</v>
      </c>
      <c r="P62" s="4"/>
      <c r="Q62" s="4"/>
      <c r="R62" s="4">
        <v>81</v>
      </c>
      <c r="S62" s="4"/>
      <c r="T62" s="5">
        <f t="shared" si="1"/>
        <v>332</v>
      </c>
      <c r="U62" s="9"/>
    </row>
    <row r="63" spans="1:21" ht="23.1" customHeight="1">
      <c r="A63" s="1" t="s">
        <v>157</v>
      </c>
      <c r="B63" s="29" t="s">
        <v>158</v>
      </c>
      <c r="C63" s="29"/>
      <c r="D63" s="14"/>
      <c r="E63" s="8"/>
      <c r="F63" s="8"/>
      <c r="G63" s="8">
        <v>78</v>
      </c>
      <c r="H63" s="8">
        <v>93</v>
      </c>
      <c r="I63" s="8">
        <v>196</v>
      </c>
      <c r="J63" s="8">
        <v>59</v>
      </c>
      <c r="K63" s="8"/>
      <c r="L63" s="8"/>
      <c r="M63" s="8"/>
      <c r="N63" s="8"/>
      <c r="O63" s="8">
        <v>69</v>
      </c>
      <c r="P63" s="8"/>
      <c r="Q63" s="8">
        <v>0</v>
      </c>
      <c r="R63" s="8"/>
      <c r="S63" s="8"/>
      <c r="T63" s="5">
        <f t="shared" si="1"/>
        <v>495</v>
      </c>
      <c r="U63" s="9"/>
    </row>
    <row r="64" spans="1:21" ht="23.1" customHeight="1">
      <c r="A64" s="1" t="s">
        <v>159</v>
      </c>
      <c r="B64" s="29" t="s">
        <v>160</v>
      </c>
      <c r="C64" s="29"/>
      <c r="D64" s="3"/>
      <c r="E64" s="4"/>
      <c r="F64" s="4"/>
      <c r="G64" s="4"/>
      <c r="H64" s="4"/>
      <c r="I64" s="4"/>
      <c r="J64" s="4"/>
      <c r="K64" s="4">
        <v>56</v>
      </c>
      <c r="L64" s="4">
        <v>46</v>
      </c>
      <c r="M64" s="4">
        <v>43</v>
      </c>
      <c r="N64" s="4">
        <v>43</v>
      </c>
      <c r="O64" s="4">
        <v>0</v>
      </c>
      <c r="P64" s="4"/>
      <c r="Q64" s="4">
        <v>16</v>
      </c>
      <c r="R64" s="4"/>
      <c r="S64" s="4">
        <v>32</v>
      </c>
      <c r="T64" s="5">
        <f t="shared" si="1"/>
        <v>236</v>
      </c>
      <c r="U64" s="9"/>
    </row>
    <row r="65" spans="1:21" ht="23.1" customHeight="1">
      <c r="A65" s="1" t="s">
        <v>161</v>
      </c>
      <c r="B65" s="29" t="s">
        <v>162</v>
      </c>
      <c r="C65" s="29"/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>
        <v>5</v>
      </c>
      <c r="Q65" s="4"/>
      <c r="R65" s="4"/>
      <c r="S65" s="4"/>
      <c r="T65" s="5">
        <f t="shared" si="1"/>
        <v>5</v>
      </c>
      <c r="U65" s="9"/>
    </row>
    <row r="66" spans="1:21" ht="23.1" customHeight="1">
      <c r="A66" s="1" t="s">
        <v>163</v>
      </c>
      <c r="B66" s="7" t="s">
        <v>164</v>
      </c>
      <c r="C66" s="7"/>
      <c r="D66" s="14" t="s">
        <v>165</v>
      </c>
      <c r="E66" s="5">
        <f>E67+E68+E69+E70</f>
        <v>1289</v>
      </c>
      <c r="F66" s="5">
        <f t="shared" ref="F66:S66" si="44">F67+F68+F69+F70</f>
        <v>908</v>
      </c>
      <c r="G66" s="5">
        <f t="shared" si="44"/>
        <v>924</v>
      </c>
      <c r="H66" s="5">
        <f t="shared" si="44"/>
        <v>1002</v>
      </c>
      <c r="I66" s="5">
        <f t="shared" si="44"/>
        <v>3298</v>
      </c>
      <c r="J66" s="5">
        <f t="shared" si="44"/>
        <v>819</v>
      </c>
      <c r="K66" s="5">
        <f t="shared" si="44"/>
        <v>594</v>
      </c>
      <c r="L66" s="5">
        <f t="shared" si="44"/>
        <v>432</v>
      </c>
      <c r="M66" s="5">
        <f t="shared" si="44"/>
        <v>492</v>
      </c>
      <c r="N66" s="5">
        <f t="shared" si="44"/>
        <v>484</v>
      </c>
      <c r="O66" s="5">
        <f t="shared" si="44"/>
        <v>1782</v>
      </c>
      <c r="P66" s="5">
        <f t="shared" si="44"/>
        <v>0</v>
      </c>
      <c r="Q66" s="5">
        <f t="shared" si="44"/>
        <v>247</v>
      </c>
      <c r="R66" s="5">
        <f t="shared" si="44"/>
        <v>1158</v>
      </c>
      <c r="S66" s="5">
        <f t="shared" si="44"/>
        <v>415</v>
      </c>
      <c r="T66" s="5">
        <f t="shared" si="1"/>
        <v>13844</v>
      </c>
      <c r="U66" s="9"/>
    </row>
    <row r="67" spans="1:21" ht="23.1" customHeight="1">
      <c r="A67" s="1" t="s">
        <v>166</v>
      </c>
      <c r="B67" s="29" t="s">
        <v>156</v>
      </c>
      <c r="C67" s="29"/>
      <c r="D67" s="3"/>
      <c r="E67" s="4">
        <v>1289</v>
      </c>
      <c r="F67" s="4">
        <v>908</v>
      </c>
      <c r="G67" s="4"/>
      <c r="H67" s="4"/>
      <c r="I67" s="4"/>
      <c r="J67" s="4"/>
      <c r="K67" s="4"/>
      <c r="L67" s="4"/>
      <c r="M67" s="4"/>
      <c r="N67" s="4"/>
      <c r="O67" s="4">
        <v>779</v>
      </c>
      <c r="P67" s="4"/>
      <c r="Q67" s="4"/>
      <c r="R67" s="4">
        <v>1158</v>
      </c>
      <c r="S67" s="4"/>
      <c r="T67" s="5">
        <f t="shared" ref="T67:T73" si="45">SUM(E67:S67)</f>
        <v>4134</v>
      </c>
      <c r="U67" s="9"/>
    </row>
    <row r="68" spans="1:21" ht="23.1" customHeight="1">
      <c r="A68" s="1" t="s">
        <v>167</v>
      </c>
      <c r="B68" s="29" t="s">
        <v>158</v>
      </c>
      <c r="C68" s="29"/>
      <c r="D68" s="14"/>
      <c r="E68" s="8"/>
      <c r="F68" s="8"/>
      <c r="G68" s="8">
        <v>924</v>
      </c>
      <c r="H68" s="8">
        <v>1002</v>
      </c>
      <c r="I68" s="8">
        <v>3298</v>
      </c>
      <c r="J68" s="8">
        <v>819</v>
      </c>
      <c r="K68" s="8"/>
      <c r="L68" s="8"/>
      <c r="M68" s="8"/>
      <c r="N68" s="8"/>
      <c r="O68" s="8">
        <v>1003</v>
      </c>
      <c r="P68" s="8"/>
      <c r="Q68" s="8"/>
      <c r="R68" s="8"/>
      <c r="S68" s="8"/>
      <c r="T68" s="5">
        <f t="shared" si="45"/>
        <v>7046</v>
      </c>
      <c r="U68" s="9"/>
    </row>
    <row r="69" spans="1:21" ht="23.1" customHeight="1">
      <c r="A69" s="1" t="s">
        <v>168</v>
      </c>
      <c r="B69" s="29" t="s">
        <v>160</v>
      </c>
      <c r="C69" s="29"/>
      <c r="D69" s="3"/>
      <c r="E69" s="4"/>
      <c r="F69" s="4"/>
      <c r="G69" s="4"/>
      <c r="H69" s="4"/>
      <c r="I69" s="4"/>
      <c r="J69" s="4"/>
      <c r="K69" s="4">
        <v>594</v>
      </c>
      <c r="L69" s="4">
        <v>432</v>
      </c>
      <c r="M69" s="4">
        <v>492</v>
      </c>
      <c r="N69" s="4">
        <v>484</v>
      </c>
      <c r="O69" s="4"/>
      <c r="P69" s="4"/>
      <c r="Q69" s="4">
        <v>247</v>
      </c>
      <c r="R69" s="4"/>
      <c r="S69" s="4">
        <v>415</v>
      </c>
      <c r="T69" s="5">
        <f t="shared" si="45"/>
        <v>2664</v>
      </c>
      <c r="U69" s="9"/>
    </row>
    <row r="70" spans="1:21" ht="23.1" customHeight="1">
      <c r="A70" s="1" t="s">
        <v>169</v>
      </c>
      <c r="B70" s="29" t="s">
        <v>162</v>
      </c>
      <c r="C70" s="29"/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5">
        <f t="shared" si="45"/>
        <v>0</v>
      </c>
      <c r="U70" s="9"/>
    </row>
    <row r="71" spans="1:21" ht="23.1" customHeight="1">
      <c r="A71" s="1" t="s">
        <v>170</v>
      </c>
      <c r="B71" s="7" t="s">
        <v>171</v>
      </c>
      <c r="C71" s="7"/>
      <c r="D71" s="14"/>
      <c r="E71" s="8">
        <v>89</v>
      </c>
      <c r="F71" s="8">
        <v>52</v>
      </c>
      <c r="G71" s="8">
        <v>77</v>
      </c>
      <c r="H71" s="8">
        <v>45</v>
      </c>
      <c r="I71" s="8">
        <v>17</v>
      </c>
      <c r="J71" s="8"/>
      <c r="K71" s="8">
        <v>12</v>
      </c>
      <c r="L71" s="8">
        <v>18</v>
      </c>
      <c r="M71" s="8">
        <v>4</v>
      </c>
      <c r="N71" s="8">
        <v>1</v>
      </c>
      <c r="O71" s="8">
        <v>3</v>
      </c>
      <c r="P71" s="8">
        <v>3</v>
      </c>
      <c r="Q71" s="8"/>
      <c r="R71" s="8">
        <v>4</v>
      </c>
      <c r="S71" s="8">
        <v>9</v>
      </c>
      <c r="T71" s="5">
        <f t="shared" si="45"/>
        <v>334</v>
      </c>
      <c r="U71" s="9"/>
    </row>
    <row r="72" spans="1:21" ht="23.1" customHeight="1">
      <c r="A72" s="1" t="s">
        <v>172</v>
      </c>
      <c r="B72" s="29" t="s">
        <v>173</v>
      </c>
      <c r="C72" s="29"/>
      <c r="D72" s="10"/>
      <c r="E72" s="8">
        <v>32622</v>
      </c>
      <c r="F72" s="8">
        <v>9046</v>
      </c>
      <c r="G72" s="8">
        <v>13627</v>
      </c>
      <c r="H72" s="8">
        <v>17902</v>
      </c>
      <c r="I72" s="8">
        <v>25772.240000000002</v>
      </c>
      <c r="J72" s="8">
        <v>13105.71</v>
      </c>
      <c r="K72" s="8">
        <f>10602.95+3127.29</f>
        <v>13730.240000000002</v>
      </c>
      <c r="L72" s="8">
        <v>6627.96</v>
      </c>
      <c r="M72" s="8">
        <v>11478.41</v>
      </c>
      <c r="N72" s="8">
        <v>9116.92</v>
      </c>
      <c r="O72" s="8">
        <v>33999.89</v>
      </c>
      <c r="P72" s="8">
        <v>2300</v>
      </c>
      <c r="Q72" s="8">
        <v>4357</v>
      </c>
      <c r="R72" s="8">
        <v>13284.58</v>
      </c>
      <c r="S72" s="8">
        <f>2564.98+1394.54</f>
        <v>3959.52</v>
      </c>
      <c r="T72" s="5">
        <f t="shared" si="45"/>
        <v>210929.47000000003</v>
      </c>
      <c r="U72" s="9"/>
    </row>
    <row r="73" spans="1:21" ht="23.1" customHeight="1">
      <c r="A73" s="1" t="s">
        <v>174</v>
      </c>
      <c r="B73" s="29" t="s">
        <v>175</v>
      </c>
      <c r="C73" s="29"/>
      <c r="D73" s="10"/>
      <c r="E73" s="8">
        <v>29824</v>
      </c>
      <c r="F73" s="8">
        <v>8662</v>
      </c>
      <c r="G73" s="8">
        <v>8000</v>
      </c>
      <c r="H73" s="8">
        <v>8000</v>
      </c>
      <c r="I73" s="8">
        <v>15855</v>
      </c>
      <c r="J73" s="8">
        <v>4669</v>
      </c>
      <c r="K73" s="8">
        <f>4900+1492</f>
        <v>6392</v>
      </c>
      <c r="L73" s="8">
        <v>4663.8</v>
      </c>
      <c r="M73" s="8">
        <v>6585.2</v>
      </c>
      <c r="N73" s="8">
        <v>3060</v>
      </c>
      <c r="O73" s="8">
        <v>21060</v>
      </c>
      <c r="P73" s="8"/>
      <c r="Q73" s="8">
        <v>1505</v>
      </c>
      <c r="R73" s="8">
        <v>6784</v>
      </c>
      <c r="S73" s="8">
        <v>4013</v>
      </c>
      <c r="T73" s="5">
        <f t="shared" si="45"/>
        <v>129073</v>
      </c>
      <c r="U73" s="9"/>
    </row>
  </sheetData>
  <protectedRanges>
    <protectedRange password="E9C1" sqref="D29 C30 A4:D5 B6:D28 B31:D73 T4:U73 A6:A73 A2:U3" name="区域1_1"/>
    <protectedRange password="E9C1" sqref="B29:C29 B30" name="区域1_1_1"/>
    <protectedRange password="E9C1" sqref="D30" name="区域1_2"/>
  </protectedRanges>
  <mergeCells count="1">
    <mergeCell ref="A1:U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80" orientation="landscape" verticalDpi="0" r:id="rId1"/>
  <headerFooter>
    <oddFooter>第 &amp;P 页，共 &amp;N 页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opLeftCell="B1" workbookViewId="0">
      <pane xSplit="4" ySplit="3" topLeftCell="F4" activePane="bottomRight" state="frozen"/>
      <selection activeCell="D2" sqref="D2:K2"/>
      <selection pane="topRight" activeCell="D2" sqref="D2:K2"/>
      <selection pane="bottomLeft" activeCell="D2" sqref="D2:K2"/>
      <selection pane="bottomRight" activeCell="D2" sqref="D2:K2"/>
    </sheetView>
  </sheetViews>
  <sheetFormatPr defaultRowHeight="13.5"/>
  <cols>
    <col min="1" max="1" width="0" hidden="1" customWidth="1"/>
    <col min="2" max="2" width="25.625" customWidth="1"/>
    <col min="3" max="3" width="6.5" hidden="1" customWidth="1"/>
    <col min="4" max="5" width="0" hidden="1" customWidth="1"/>
    <col min="6" max="17" width="12.625" customWidth="1"/>
  </cols>
  <sheetData>
    <row r="1" spans="1:17" ht="20.25">
      <c r="A1" s="189" t="s">
        <v>319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>
      <c r="A2" s="191" t="s">
        <v>220</v>
      </c>
      <c r="B2" s="193" t="s">
        <v>309</v>
      </c>
      <c r="C2" s="193" t="s">
        <v>3</v>
      </c>
      <c r="D2" s="194" t="s">
        <v>310</v>
      </c>
      <c r="E2" s="195" t="s">
        <v>288</v>
      </c>
      <c r="F2" s="196" t="s">
        <v>320</v>
      </c>
      <c r="G2" s="197"/>
      <c r="H2" s="197"/>
      <c r="I2" s="197"/>
      <c r="J2" s="196" t="s">
        <v>321</v>
      </c>
      <c r="K2" s="197"/>
      <c r="L2" s="197"/>
      <c r="M2" s="197"/>
      <c r="N2" s="196" t="s">
        <v>311</v>
      </c>
      <c r="O2" s="197"/>
      <c r="P2" s="197"/>
      <c r="Q2" s="197"/>
    </row>
    <row r="3" spans="1:17" ht="22.5">
      <c r="A3" s="192"/>
      <c r="B3" s="192"/>
      <c r="C3" s="192"/>
      <c r="D3" s="192"/>
      <c r="E3" s="192"/>
      <c r="F3" s="96" t="s">
        <v>312</v>
      </c>
      <c r="G3" s="97" t="s">
        <v>313</v>
      </c>
      <c r="H3" s="98" t="s">
        <v>314</v>
      </c>
      <c r="I3" s="98" t="s">
        <v>315</v>
      </c>
      <c r="J3" s="96" t="s">
        <v>312</v>
      </c>
      <c r="K3" s="97" t="s">
        <v>313</v>
      </c>
      <c r="L3" s="98" t="s">
        <v>314</v>
      </c>
      <c r="M3" s="98" t="s">
        <v>315</v>
      </c>
      <c r="N3" s="96" t="s">
        <v>312</v>
      </c>
      <c r="O3" s="97" t="s">
        <v>313</v>
      </c>
      <c r="P3" s="98" t="s">
        <v>314</v>
      </c>
      <c r="Q3" s="98" t="s">
        <v>315</v>
      </c>
    </row>
    <row r="4" spans="1:17" s="103" customFormat="1" ht="20.100000000000001" customHeight="1">
      <c r="A4" s="95" t="s">
        <v>2</v>
      </c>
      <c r="B4" s="99" t="s">
        <v>196</v>
      </c>
      <c r="C4" s="99">
        <v>1</v>
      </c>
      <c r="D4" s="99" t="s">
        <v>316</v>
      </c>
      <c r="E4" s="99" t="s">
        <v>192</v>
      </c>
      <c r="F4" s="100">
        <v>22918930</v>
      </c>
      <c r="G4" s="100">
        <v>611520</v>
      </c>
      <c r="H4" s="101">
        <v>1658886.5</v>
      </c>
      <c r="I4" s="101">
        <f t="shared" ref="I4:I18" si="0">F4+H4</f>
        <v>24577816.5</v>
      </c>
      <c r="J4" s="102">
        <v>23284680</v>
      </c>
      <c r="K4" s="102">
        <v>599120</v>
      </c>
      <c r="L4" s="102">
        <v>1600000</v>
      </c>
      <c r="M4" s="102">
        <f t="shared" ref="M4:M18" si="1">J4+L4</f>
        <v>24884680</v>
      </c>
      <c r="N4" s="102">
        <f t="shared" ref="N4:Q18" si="2">F4-J4</f>
        <v>-365750</v>
      </c>
      <c r="O4" s="102">
        <f t="shared" si="2"/>
        <v>12400</v>
      </c>
      <c r="P4" s="102">
        <f t="shared" si="2"/>
        <v>58886.5</v>
      </c>
      <c r="Q4" s="102">
        <f t="shared" si="2"/>
        <v>-306863.5</v>
      </c>
    </row>
    <row r="5" spans="1:17" s="103" customFormat="1" ht="20.100000000000001" customHeight="1">
      <c r="A5" s="95" t="s">
        <v>2</v>
      </c>
      <c r="B5" s="99" t="s">
        <v>197</v>
      </c>
      <c r="C5" s="99">
        <v>2</v>
      </c>
      <c r="D5" s="99" t="s">
        <v>316</v>
      </c>
      <c r="E5" s="99" t="s">
        <v>192</v>
      </c>
      <c r="F5" s="100">
        <v>14462771</v>
      </c>
      <c r="G5" s="100">
        <v>276042</v>
      </c>
      <c r="H5" s="101">
        <v>1059521</v>
      </c>
      <c r="I5" s="101">
        <f t="shared" si="0"/>
        <v>15522292</v>
      </c>
      <c r="J5" s="102">
        <v>14854020</v>
      </c>
      <c r="K5" s="102">
        <v>271042</v>
      </c>
      <c r="L5" s="102">
        <v>1000000</v>
      </c>
      <c r="M5" s="102">
        <f t="shared" si="1"/>
        <v>15854020</v>
      </c>
      <c r="N5" s="102">
        <f t="shared" si="2"/>
        <v>-391249</v>
      </c>
      <c r="O5" s="102">
        <f t="shared" si="2"/>
        <v>5000</v>
      </c>
      <c r="P5" s="102">
        <f t="shared" si="2"/>
        <v>59521</v>
      </c>
      <c r="Q5" s="102">
        <f t="shared" si="2"/>
        <v>-331728</v>
      </c>
    </row>
    <row r="6" spans="1:17" s="103" customFormat="1" ht="20.100000000000001" customHeight="1">
      <c r="A6" s="95" t="s">
        <v>2</v>
      </c>
      <c r="B6" s="99" t="s">
        <v>198</v>
      </c>
      <c r="C6" s="99">
        <v>3</v>
      </c>
      <c r="D6" s="99" t="s">
        <v>316</v>
      </c>
      <c r="E6" s="99" t="s">
        <v>192</v>
      </c>
      <c r="F6" s="100">
        <v>14379586</v>
      </c>
      <c r="G6" s="100">
        <v>262632</v>
      </c>
      <c r="H6" s="101">
        <v>1129114</v>
      </c>
      <c r="I6" s="101">
        <f t="shared" si="0"/>
        <v>15508700</v>
      </c>
      <c r="J6" s="102">
        <v>15054750</v>
      </c>
      <c r="K6" s="102">
        <v>257632</v>
      </c>
      <c r="L6" s="102">
        <v>1000000</v>
      </c>
      <c r="M6" s="102">
        <f t="shared" si="1"/>
        <v>16054750</v>
      </c>
      <c r="N6" s="102">
        <f t="shared" si="2"/>
        <v>-675164</v>
      </c>
      <c r="O6" s="102">
        <f t="shared" si="2"/>
        <v>5000</v>
      </c>
      <c r="P6" s="102">
        <f t="shared" si="2"/>
        <v>129114</v>
      </c>
      <c r="Q6" s="102">
        <f t="shared" si="2"/>
        <v>-546050</v>
      </c>
    </row>
    <row r="7" spans="1:17" s="103" customFormat="1" ht="20.100000000000001" customHeight="1">
      <c r="A7" s="95" t="s">
        <v>2</v>
      </c>
      <c r="B7" s="99" t="s">
        <v>199</v>
      </c>
      <c r="C7" s="99">
        <v>4</v>
      </c>
      <c r="D7" s="99" t="s">
        <v>316</v>
      </c>
      <c r="E7" s="99" t="s">
        <v>193</v>
      </c>
      <c r="F7" s="100">
        <v>26085898</v>
      </c>
      <c r="G7" s="100">
        <v>572088</v>
      </c>
      <c r="H7" s="101">
        <v>2094573.5</v>
      </c>
      <c r="I7" s="101">
        <f t="shared" si="0"/>
        <v>28180471.5</v>
      </c>
      <c r="J7" s="101">
        <v>27299280</v>
      </c>
      <c r="K7" s="102">
        <v>561468</v>
      </c>
      <c r="L7" s="102">
        <v>2000000</v>
      </c>
      <c r="M7" s="102">
        <f t="shared" si="1"/>
        <v>29299280</v>
      </c>
      <c r="N7" s="102">
        <f t="shared" si="2"/>
        <v>-1213382</v>
      </c>
      <c r="O7" s="102">
        <f t="shared" si="2"/>
        <v>10620</v>
      </c>
      <c r="P7" s="102">
        <f t="shared" si="2"/>
        <v>94573.5</v>
      </c>
      <c r="Q7" s="102">
        <f t="shared" si="2"/>
        <v>-1118808.5</v>
      </c>
    </row>
    <row r="8" spans="1:17" s="103" customFormat="1" ht="20.100000000000001" customHeight="1">
      <c r="A8" s="95" t="s">
        <v>2</v>
      </c>
      <c r="B8" s="99" t="s">
        <v>200</v>
      </c>
      <c r="C8" s="99">
        <v>5</v>
      </c>
      <c r="D8" s="99" t="s">
        <v>316</v>
      </c>
      <c r="E8" s="99" t="s">
        <v>194</v>
      </c>
      <c r="F8" s="100">
        <v>14750147</v>
      </c>
      <c r="G8" s="100">
        <v>660800</v>
      </c>
      <c r="H8" s="101">
        <v>857547.5</v>
      </c>
      <c r="I8" s="101">
        <f t="shared" si="0"/>
        <v>15607694.5</v>
      </c>
      <c r="J8" s="101">
        <v>15857670</v>
      </c>
      <c r="K8" s="102">
        <v>650800</v>
      </c>
      <c r="L8" s="102">
        <v>840000</v>
      </c>
      <c r="M8" s="102">
        <f t="shared" si="1"/>
        <v>16697670</v>
      </c>
      <c r="N8" s="102">
        <f t="shared" si="2"/>
        <v>-1107523</v>
      </c>
      <c r="O8" s="102">
        <f t="shared" si="2"/>
        <v>10000</v>
      </c>
      <c r="P8" s="102">
        <f t="shared" si="2"/>
        <v>17547.5</v>
      </c>
      <c r="Q8" s="102">
        <f t="shared" si="2"/>
        <v>-1089975.5</v>
      </c>
    </row>
    <row r="9" spans="1:17" s="103" customFormat="1" ht="20.100000000000001" customHeight="1">
      <c r="A9" s="95" t="s">
        <v>2</v>
      </c>
      <c r="B9" s="99" t="s">
        <v>201</v>
      </c>
      <c r="C9" s="99">
        <v>6</v>
      </c>
      <c r="D9" s="99" t="s">
        <v>316</v>
      </c>
      <c r="E9" s="99" t="s">
        <v>194</v>
      </c>
      <c r="F9" s="100">
        <v>36688317</v>
      </c>
      <c r="G9" s="100">
        <v>496376</v>
      </c>
      <c r="H9" s="101">
        <v>1920327</v>
      </c>
      <c r="I9" s="101">
        <f t="shared" si="0"/>
        <v>38608644</v>
      </c>
      <c r="J9" s="101">
        <v>39644175</v>
      </c>
      <c r="K9" s="102">
        <v>486376</v>
      </c>
      <c r="L9" s="102">
        <v>2000000</v>
      </c>
      <c r="M9" s="102">
        <f t="shared" si="1"/>
        <v>41644175</v>
      </c>
      <c r="N9" s="102">
        <f t="shared" si="2"/>
        <v>-2955858</v>
      </c>
      <c r="O9" s="102">
        <f t="shared" si="2"/>
        <v>10000</v>
      </c>
      <c r="P9" s="102">
        <f t="shared" si="2"/>
        <v>-79673</v>
      </c>
      <c r="Q9" s="102">
        <f t="shared" si="2"/>
        <v>-3035531</v>
      </c>
    </row>
    <row r="10" spans="1:17" s="103" customFormat="1" ht="20.100000000000001" customHeight="1">
      <c r="A10" s="95" t="s">
        <v>2</v>
      </c>
      <c r="B10" s="99" t="s">
        <v>202</v>
      </c>
      <c r="C10" s="99">
        <v>7</v>
      </c>
      <c r="D10" s="99" t="s">
        <v>316</v>
      </c>
      <c r="E10" s="99" t="s">
        <v>194</v>
      </c>
      <c r="F10" s="100">
        <v>16618472</v>
      </c>
      <c r="G10" s="100">
        <v>629438</v>
      </c>
      <c r="H10" s="101">
        <v>824490</v>
      </c>
      <c r="I10" s="101">
        <f t="shared" si="0"/>
        <v>17442962</v>
      </c>
      <c r="J10" s="101">
        <v>18768255</v>
      </c>
      <c r="K10" s="102">
        <v>619438</v>
      </c>
      <c r="L10" s="102">
        <v>800000</v>
      </c>
      <c r="M10" s="102">
        <f t="shared" si="1"/>
        <v>19568255</v>
      </c>
      <c r="N10" s="102">
        <f t="shared" si="2"/>
        <v>-2149783</v>
      </c>
      <c r="O10" s="102">
        <f t="shared" si="2"/>
        <v>10000</v>
      </c>
      <c r="P10" s="102">
        <f t="shared" si="2"/>
        <v>24490</v>
      </c>
      <c r="Q10" s="102">
        <f t="shared" si="2"/>
        <v>-2125293</v>
      </c>
    </row>
    <row r="11" spans="1:17" s="103" customFormat="1" ht="20.100000000000001" customHeight="1">
      <c r="A11" s="95" t="s">
        <v>2</v>
      </c>
      <c r="B11" s="99" t="s">
        <v>203</v>
      </c>
      <c r="C11" s="99">
        <v>8</v>
      </c>
      <c r="D11" s="99" t="s">
        <v>316</v>
      </c>
      <c r="E11" s="99" t="s">
        <v>194</v>
      </c>
      <c r="F11" s="100">
        <v>10300827</v>
      </c>
      <c r="G11" s="100">
        <v>263272</v>
      </c>
      <c r="H11" s="101">
        <v>561526.5</v>
      </c>
      <c r="I11" s="101">
        <f t="shared" si="0"/>
        <v>10862353.5</v>
      </c>
      <c r="J11" s="101">
        <v>11240880</v>
      </c>
      <c r="K11" s="102">
        <v>258272</v>
      </c>
      <c r="L11" s="102">
        <v>560000</v>
      </c>
      <c r="M11" s="102">
        <f t="shared" si="1"/>
        <v>11800880</v>
      </c>
      <c r="N11" s="102">
        <f t="shared" si="2"/>
        <v>-940053</v>
      </c>
      <c r="O11" s="102">
        <f t="shared" si="2"/>
        <v>5000</v>
      </c>
      <c r="P11" s="102">
        <f t="shared" si="2"/>
        <v>1526.5</v>
      </c>
      <c r="Q11" s="102">
        <f t="shared" si="2"/>
        <v>-938526.5</v>
      </c>
    </row>
    <row r="12" spans="1:17" s="103" customFormat="1" ht="20.100000000000001" customHeight="1">
      <c r="A12" s="95" t="s">
        <v>2</v>
      </c>
      <c r="B12" s="99" t="s">
        <v>210</v>
      </c>
      <c r="C12" s="99">
        <v>9</v>
      </c>
      <c r="D12" s="99" t="s">
        <v>317</v>
      </c>
      <c r="E12" s="99" t="s">
        <v>318</v>
      </c>
      <c r="F12" s="100">
        <v>949475</v>
      </c>
      <c r="G12" s="100"/>
      <c r="H12" s="101"/>
      <c r="I12" s="101">
        <f t="shared" si="0"/>
        <v>949475</v>
      </c>
      <c r="J12" s="101">
        <v>975650</v>
      </c>
      <c r="K12" s="102"/>
      <c r="L12" s="102"/>
      <c r="M12" s="102">
        <f t="shared" si="1"/>
        <v>975650</v>
      </c>
      <c r="N12" s="102">
        <f t="shared" si="2"/>
        <v>-26175</v>
      </c>
      <c r="O12" s="102">
        <f t="shared" si="2"/>
        <v>0</v>
      </c>
      <c r="P12" s="102">
        <f t="shared" si="2"/>
        <v>0</v>
      </c>
      <c r="Q12" s="102">
        <f t="shared" si="2"/>
        <v>-26175</v>
      </c>
    </row>
    <row r="13" spans="1:17" s="103" customFormat="1" ht="20.100000000000001" customHeight="1">
      <c r="A13" s="95" t="s">
        <v>2</v>
      </c>
      <c r="B13" s="99" t="s">
        <v>204</v>
      </c>
      <c r="C13" s="99">
        <v>10</v>
      </c>
      <c r="D13" s="99" t="s">
        <v>317</v>
      </c>
      <c r="E13" s="99" t="s">
        <v>195</v>
      </c>
      <c r="F13" s="100">
        <v>7878500</v>
      </c>
      <c r="G13" s="100">
        <v>296500</v>
      </c>
      <c r="H13" s="101"/>
      <c r="I13" s="101">
        <f t="shared" si="0"/>
        <v>7878500</v>
      </c>
      <c r="J13" s="101">
        <v>8649410</v>
      </c>
      <c r="K13" s="102">
        <v>291500</v>
      </c>
      <c r="L13" s="102"/>
      <c r="M13" s="102">
        <f t="shared" si="1"/>
        <v>8649410</v>
      </c>
      <c r="N13" s="102">
        <f t="shared" si="2"/>
        <v>-770910</v>
      </c>
      <c r="O13" s="102">
        <f t="shared" si="2"/>
        <v>5000</v>
      </c>
      <c r="P13" s="102">
        <f t="shared" si="2"/>
        <v>0</v>
      </c>
      <c r="Q13" s="102">
        <f t="shared" si="2"/>
        <v>-770910</v>
      </c>
    </row>
    <row r="14" spans="1:17" s="103" customFormat="1" ht="20.100000000000001" customHeight="1">
      <c r="A14" s="95" t="s">
        <v>2</v>
      </c>
      <c r="B14" s="99" t="s">
        <v>205</v>
      </c>
      <c r="C14" s="99">
        <v>11</v>
      </c>
      <c r="D14" s="99" t="s">
        <v>317</v>
      </c>
      <c r="E14" s="99" t="s">
        <v>195</v>
      </c>
      <c r="F14" s="100">
        <v>9563521</v>
      </c>
      <c r="G14" s="100">
        <v>248412</v>
      </c>
      <c r="H14" s="101"/>
      <c r="I14" s="101">
        <f t="shared" si="0"/>
        <v>9563521</v>
      </c>
      <c r="J14" s="101">
        <v>10397695</v>
      </c>
      <c r="K14" s="102">
        <v>243412</v>
      </c>
      <c r="L14" s="102"/>
      <c r="M14" s="102">
        <f t="shared" si="1"/>
        <v>10397695</v>
      </c>
      <c r="N14" s="102">
        <f t="shared" si="2"/>
        <v>-834174</v>
      </c>
      <c r="O14" s="102">
        <f t="shared" si="2"/>
        <v>5000</v>
      </c>
      <c r="P14" s="102">
        <f t="shared" si="2"/>
        <v>0</v>
      </c>
      <c r="Q14" s="102">
        <f t="shared" si="2"/>
        <v>-834174</v>
      </c>
    </row>
    <row r="15" spans="1:17" s="103" customFormat="1" ht="20.100000000000001" customHeight="1">
      <c r="A15" s="95" t="s">
        <v>2</v>
      </c>
      <c r="B15" s="99" t="s">
        <v>206</v>
      </c>
      <c r="C15" s="99">
        <v>12</v>
      </c>
      <c r="D15" s="99" t="s">
        <v>317</v>
      </c>
      <c r="E15" s="99" t="s">
        <v>195</v>
      </c>
      <c r="F15" s="100">
        <v>7156976</v>
      </c>
      <c r="G15" s="100">
        <v>293676</v>
      </c>
      <c r="H15" s="101"/>
      <c r="I15" s="101">
        <f t="shared" si="0"/>
        <v>7156976</v>
      </c>
      <c r="J15" s="101">
        <v>7913290</v>
      </c>
      <c r="K15" s="102">
        <v>288676</v>
      </c>
      <c r="L15" s="102"/>
      <c r="M15" s="102">
        <f t="shared" si="1"/>
        <v>7913290</v>
      </c>
      <c r="N15" s="102">
        <f t="shared" si="2"/>
        <v>-756314</v>
      </c>
      <c r="O15" s="102">
        <f t="shared" si="2"/>
        <v>5000</v>
      </c>
      <c r="P15" s="102">
        <f t="shared" si="2"/>
        <v>0</v>
      </c>
      <c r="Q15" s="102">
        <f t="shared" si="2"/>
        <v>-756314</v>
      </c>
    </row>
    <row r="16" spans="1:17" s="103" customFormat="1" ht="20.100000000000001" customHeight="1">
      <c r="A16" s="95" t="s">
        <v>2</v>
      </c>
      <c r="B16" s="99" t="s">
        <v>207</v>
      </c>
      <c r="C16" s="99">
        <v>13</v>
      </c>
      <c r="D16" s="99" t="s">
        <v>317</v>
      </c>
      <c r="E16" s="99" t="s">
        <v>195</v>
      </c>
      <c r="F16" s="100">
        <v>7363207</v>
      </c>
      <c r="G16" s="100">
        <v>260032</v>
      </c>
      <c r="H16" s="101"/>
      <c r="I16" s="101">
        <f t="shared" si="0"/>
        <v>7363207</v>
      </c>
      <c r="J16" s="101">
        <v>8005305</v>
      </c>
      <c r="K16" s="102">
        <v>254402</v>
      </c>
      <c r="L16" s="102"/>
      <c r="M16" s="102">
        <f t="shared" si="1"/>
        <v>8005305</v>
      </c>
      <c r="N16" s="102">
        <f t="shared" si="2"/>
        <v>-642098</v>
      </c>
      <c r="O16" s="102">
        <f t="shared" si="2"/>
        <v>5630</v>
      </c>
      <c r="P16" s="102">
        <f t="shared" si="2"/>
        <v>0</v>
      </c>
      <c r="Q16" s="102">
        <f t="shared" si="2"/>
        <v>-642098</v>
      </c>
    </row>
    <row r="17" spans="1:17" s="103" customFormat="1" ht="20.100000000000001" customHeight="1">
      <c r="A17" s="95" t="s">
        <v>2</v>
      </c>
      <c r="B17" s="96" t="s">
        <v>208</v>
      </c>
      <c r="C17" s="99">
        <v>14</v>
      </c>
      <c r="D17" s="99" t="s">
        <v>317</v>
      </c>
      <c r="E17" s="99" t="s">
        <v>195</v>
      </c>
      <c r="F17" s="100">
        <v>4960193</v>
      </c>
      <c r="G17" s="100">
        <v>241744</v>
      </c>
      <c r="H17" s="101"/>
      <c r="I17" s="101">
        <f t="shared" si="0"/>
        <v>4960193</v>
      </c>
      <c r="J17" s="101">
        <v>5612915</v>
      </c>
      <c r="K17" s="102">
        <v>236744</v>
      </c>
      <c r="L17" s="102"/>
      <c r="M17" s="102">
        <f t="shared" si="1"/>
        <v>5612915</v>
      </c>
      <c r="N17" s="102">
        <f t="shared" si="2"/>
        <v>-652722</v>
      </c>
      <c r="O17" s="102">
        <f t="shared" si="2"/>
        <v>5000</v>
      </c>
      <c r="P17" s="102">
        <f t="shared" si="2"/>
        <v>0</v>
      </c>
      <c r="Q17" s="102">
        <f t="shared" si="2"/>
        <v>-652722</v>
      </c>
    </row>
    <row r="18" spans="1:17" s="103" customFormat="1" ht="20.100000000000001" customHeight="1">
      <c r="A18" s="95" t="s">
        <v>2</v>
      </c>
      <c r="B18" s="96" t="s">
        <v>209</v>
      </c>
      <c r="C18" s="99">
        <v>15</v>
      </c>
      <c r="D18" s="99" t="s">
        <v>317</v>
      </c>
      <c r="E18" s="99" t="s">
        <v>195</v>
      </c>
      <c r="F18" s="100">
        <v>2460117</v>
      </c>
      <c r="G18" s="100">
        <v>227476</v>
      </c>
      <c r="H18" s="101"/>
      <c r="I18" s="101">
        <f t="shared" si="0"/>
        <v>2460117</v>
      </c>
      <c r="J18" s="101">
        <v>2668435</v>
      </c>
      <c r="K18" s="102">
        <v>222476</v>
      </c>
      <c r="L18" s="102"/>
      <c r="M18" s="102">
        <f t="shared" si="1"/>
        <v>2668435</v>
      </c>
      <c r="N18" s="102">
        <f t="shared" si="2"/>
        <v>-208318</v>
      </c>
      <c r="O18" s="102">
        <f t="shared" si="2"/>
        <v>5000</v>
      </c>
      <c r="P18" s="102">
        <f t="shared" si="2"/>
        <v>0</v>
      </c>
      <c r="Q18" s="102">
        <f t="shared" si="2"/>
        <v>-208318</v>
      </c>
    </row>
    <row r="19" spans="1:17" s="103" customFormat="1" ht="20.100000000000001" customHeight="1">
      <c r="A19" s="95"/>
      <c r="B19" s="96" t="s">
        <v>304</v>
      </c>
      <c r="C19" s="99"/>
      <c r="D19" s="99"/>
      <c r="E19" s="99"/>
      <c r="F19" s="100">
        <f>SUM(F4:F18)</f>
        <v>196536937</v>
      </c>
      <c r="G19" s="100">
        <f t="shared" ref="G19:Q19" si="3">SUM(G4:G18)</f>
        <v>5340008</v>
      </c>
      <c r="H19" s="100">
        <f t="shared" si="3"/>
        <v>10105986</v>
      </c>
      <c r="I19" s="100">
        <f t="shared" si="3"/>
        <v>206642923</v>
      </c>
      <c r="J19" s="100">
        <f t="shared" si="3"/>
        <v>210226410</v>
      </c>
      <c r="K19" s="100">
        <f t="shared" si="3"/>
        <v>5241358</v>
      </c>
      <c r="L19" s="100">
        <f t="shared" si="3"/>
        <v>9800000</v>
      </c>
      <c r="M19" s="100">
        <f t="shared" si="3"/>
        <v>220026410</v>
      </c>
      <c r="N19" s="100">
        <f t="shared" si="3"/>
        <v>-13689473</v>
      </c>
      <c r="O19" s="100">
        <f t="shared" si="3"/>
        <v>98650</v>
      </c>
      <c r="P19" s="100">
        <f t="shared" si="3"/>
        <v>305986</v>
      </c>
      <c r="Q19" s="100">
        <f t="shared" si="3"/>
        <v>-13383487</v>
      </c>
    </row>
  </sheetData>
  <mergeCells count="9">
    <mergeCell ref="A1:Q1"/>
    <mergeCell ref="A2:A3"/>
    <mergeCell ref="B2:B3"/>
    <mergeCell ref="C2:C3"/>
    <mergeCell ref="D2:D3"/>
    <mergeCell ref="E2:E3"/>
    <mergeCell ref="F2:I2"/>
    <mergeCell ref="J2:M2"/>
    <mergeCell ref="N2:Q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2" sqref="D2:K2"/>
    </sheetView>
  </sheetViews>
  <sheetFormatPr defaultRowHeight="13.5" outlineLevelRow="2"/>
  <cols>
    <col min="1" max="1" width="19.25" style="35" customWidth="1"/>
    <col min="2" max="2" width="40.25" style="35" customWidth="1"/>
    <col min="3" max="3" width="20.625" style="35" hidden="1" customWidth="1"/>
    <col min="4" max="4" width="24.75" style="35" customWidth="1"/>
    <col min="5" max="16384" width="9" style="35"/>
  </cols>
  <sheetData>
    <row r="1" spans="1:4" s="32" customFormat="1" ht="20.25">
      <c r="A1" s="198" t="s">
        <v>327</v>
      </c>
      <c r="B1" s="199"/>
      <c r="C1" s="199"/>
      <c r="D1" s="199"/>
    </row>
    <row r="2" spans="1:4">
      <c r="A2" s="33" t="s">
        <v>211</v>
      </c>
      <c r="B2" s="33" t="s">
        <v>212</v>
      </c>
      <c r="C2" s="33" t="s">
        <v>216</v>
      </c>
      <c r="D2" s="33" t="s">
        <v>213</v>
      </c>
    </row>
    <row r="3" spans="1:4" outlineLevel="2">
      <c r="A3" s="33" t="s">
        <v>214</v>
      </c>
      <c r="B3" s="36" t="s">
        <v>176</v>
      </c>
      <c r="C3" s="33">
        <v>2115140</v>
      </c>
      <c r="D3" s="33">
        <f t="shared" ref="D3:D17" si="0">ROUND(C3/0.07*0.015*0.9,2)</f>
        <v>407919.86</v>
      </c>
    </row>
    <row r="4" spans="1:4" outlineLevel="2">
      <c r="A4" s="33" t="s">
        <v>214</v>
      </c>
      <c r="B4" s="36" t="s">
        <v>177</v>
      </c>
      <c r="C4" s="33">
        <v>1270000</v>
      </c>
      <c r="D4" s="33">
        <f t="shared" si="0"/>
        <v>244928.57</v>
      </c>
    </row>
    <row r="5" spans="1:4" outlineLevel="2">
      <c r="A5" s="33" t="s">
        <v>214</v>
      </c>
      <c r="B5" s="36" t="s">
        <v>178</v>
      </c>
      <c r="C5" s="33">
        <v>1298754</v>
      </c>
      <c r="D5" s="33">
        <f t="shared" si="0"/>
        <v>250473.99</v>
      </c>
    </row>
    <row r="6" spans="1:4" outlineLevel="2">
      <c r="A6" s="33" t="s">
        <v>214</v>
      </c>
      <c r="B6" s="36" t="s">
        <v>179</v>
      </c>
      <c r="C6" s="33">
        <v>1462782</v>
      </c>
      <c r="D6" s="33">
        <f t="shared" si="0"/>
        <v>282107.96000000002</v>
      </c>
    </row>
    <row r="7" spans="1:4" outlineLevel="2">
      <c r="A7" s="33" t="s">
        <v>214</v>
      </c>
      <c r="B7" s="36" t="s">
        <v>180</v>
      </c>
      <c r="C7" s="33">
        <v>2915234</v>
      </c>
      <c r="D7" s="33">
        <f t="shared" si="0"/>
        <v>562223.69999999995</v>
      </c>
    </row>
    <row r="8" spans="1:4" outlineLevel="2">
      <c r="A8" s="33" t="s">
        <v>214</v>
      </c>
      <c r="B8" s="36" t="s">
        <v>181</v>
      </c>
      <c r="C8" s="33">
        <v>582602</v>
      </c>
      <c r="D8" s="33">
        <f t="shared" si="0"/>
        <v>112358.96</v>
      </c>
    </row>
    <row r="9" spans="1:4" outlineLevel="2">
      <c r="A9" s="33" t="s">
        <v>214</v>
      </c>
      <c r="B9" s="36" t="s">
        <v>182</v>
      </c>
      <c r="C9" s="33">
        <v>859498</v>
      </c>
      <c r="D9" s="33">
        <f t="shared" si="0"/>
        <v>165760.32999999999</v>
      </c>
    </row>
    <row r="10" spans="1:4" outlineLevel="2">
      <c r="A10" s="33" t="s">
        <v>214</v>
      </c>
      <c r="B10" s="36" t="s">
        <v>183</v>
      </c>
      <c r="C10" s="33">
        <v>680248</v>
      </c>
      <c r="D10" s="33">
        <f t="shared" si="0"/>
        <v>131190.69</v>
      </c>
    </row>
    <row r="11" spans="1:4" outlineLevel="2">
      <c r="A11" s="33" t="s">
        <v>214</v>
      </c>
      <c r="B11" s="36" t="s">
        <v>184</v>
      </c>
      <c r="C11" s="33">
        <v>612288</v>
      </c>
      <c r="D11" s="33">
        <f t="shared" si="0"/>
        <v>118084.11</v>
      </c>
    </row>
    <row r="12" spans="1:4" outlineLevel="2">
      <c r="A12" s="33" t="s">
        <v>214</v>
      </c>
      <c r="B12" s="36" t="s">
        <v>185</v>
      </c>
      <c r="C12" s="33">
        <v>631998</v>
      </c>
      <c r="D12" s="33">
        <f t="shared" si="0"/>
        <v>121885.33</v>
      </c>
    </row>
    <row r="13" spans="1:4" outlineLevel="2">
      <c r="A13" s="33" t="s">
        <v>214</v>
      </c>
      <c r="B13" s="36" t="s">
        <v>186</v>
      </c>
      <c r="C13" s="33">
        <v>2160000</v>
      </c>
      <c r="D13" s="33">
        <f t="shared" si="0"/>
        <v>416571.43</v>
      </c>
    </row>
    <row r="14" spans="1:4" outlineLevel="2">
      <c r="A14" s="33" t="s">
        <v>214</v>
      </c>
      <c r="B14" s="36" t="s">
        <v>187</v>
      </c>
      <c r="C14" s="33">
        <v>85026</v>
      </c>
      <c r="D14" s="33">
        <f t="shared" si="0"/>
        <v>16397.87</v>
      </c>
    </row>
    <row r="15" spans="1:4" outlineLevel="2">
      <c r="A15" s="33" t="s">
        <v>214</v>
      </c>
      <c r="B15" s="36" t="s">
        <v>217</v>
      </c>
      <c r="C15" s="33">
        <v>191162</v>
      </c>
      <c r="D15" s="33">
        <f t="shared" si="0"/>
        <v>36866.959999999999</v>
      </c>
    </row>
    <row r="16" spans="1:4" outlineLevel="2">
      <c r="A16" s="33" t="s">
        <v>214</v>
      </c>
      <c r="B16" s="36" t="s">
        <v>218</v>
      </c>
      <c r="C16" s="33">
        <v>1145034</v>
      </c>
      <c r="D16" s="33">
        <f t="shared" si="0"/>
        <v>220827.99</v>
      </c>
    </row>
    <row r="17" spans="1:4" outlineLevel="2">
      <c r="A17" s="33" t="s">
        <v>214</v>
      </c>
      <c r="B17" s="36" t="s">
        <v>219</v>
      </c>
      <c r="C17" s="33">
        <v>417183</v>
      </c>
      <c r="D17" s="33">
        <f t="shared" si="0"/>
        <v>80456.72</v>
      </c>
    </row>
    <row r="18" spans="1:4" outlineLevel="1">
      <c r="A18" s="34" t="s">
        <v>215</v>
      </c>
      <c r="B18" s="36"/>
      <c r="C18" s="33">
        <f>SUBTOTAL(9,C3:C17)</f>
        <v>16426949</v>
      </c>
      <c r="D18" s="33">
        <f>SUM(D3:D17)</f>
        <v>3168054.47</v>
      </c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2" sqref="D2:K2"/>
    </sheetView>
  </sheetViews>
  <sheetFormatPr defaultRowHeight="13.5" outlineLevelRow="2"/>
  <cols>
    <col min="1" max="1" width="24.125" style="35" customWidth="1"/>
    <col min="2" max="2" width="39.5" style="35" customWidth="1"/>
    <col min="3" max="3" width="20.625" style="35" hidden="1" customWidth="1"/>
    <col min="4" max="4" width="20.625" style="35" customWidth="1"/>
    <col min="5" max="16384" width="9" style="35"/>
  </cols>
  <sheetData>
    <row r="1" spans="1:4" s="32" customFormat="1" ht="20.25">
      <c r="A1" s="198" t="s">
        <v>355</v>
      </c>
      <c r="B1" s="199"/>
      <c r="C1" s="199"/>
      <c r="D1" s="199"/>
    </row>
    <row r="2" spans="1:4" ht="24.95" customHeight="1">
      <c r="A2" s="95" t="s">
        <v>211</v>
      </c>
      <c r="B2" s="95" t="s">
        <v>212</v>
      </c>
      <c r="C2" s="95" t="s">
        <v>216</v>
      </c>
      <c r="D2" s="95" t="s">
        <v>213</v>
      </c>
    </row>
    <row r="3" spans="1:4" ht="24.95" customHeight="1" outlineLevel="2">
      <c r="A3" s="120" t="s">
        <v>356</v>
      </c>
      <c r="B3" s="121" t="s">
        <v>201</v>
      </c>
      <c r="C3" s="120"/>
      <c r="D3" s="120">
        <v>193108</v>
      </c>
    </row>
    <row r="4" spans="1:4" ht="24.95" customHeight="1" outlineLevel="2">
      <c r="A4" s="120" t="s">
        <v>356</v>
      </c>
      <c r="B4" s="121" t="s">
        <v>200</v>
      </c>
      <c r="C4" s="120"/>
      <c r="D4" s="120">
        <v>258790</v>
      </c>
    </row>
    <row r="5" spans="1:4" ht="24.95" customHeight="1" outlineLevel="1">
      <c r="A5" s="122" t="s">
        <v>215</v>
      </c>
      <c r="B5" s="121"/>
      <c r="C5" s="120"/>
      <c r="D5" s="120">
        <f>SUBTOTAL(9,D3:D4)</f>
        <v>451898</v>
      </c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D2" sqref="D2:K2"/>
    </sheetView>
  </sheetViews>
  <sheetFormatPr defaultRowHeight="13.5"/>
  <cols>
    <col min="1" max="1" width="21.25" customWidth="1"/>
    <col min="2" max="2" width="25" customWidth="1"/>
    <col min="3" max="3" width="19.375" customWidth="1"/>
  </cols>
  <sheetData>
    <row r="1" spans="1:3" ht="20.25">
      <c r="A1" s="200" t="s">
        <v>328</v>
      </c>
      <c r="B1" s="200"/>
      <c r="C1" s="200"/>
    </row>
    <row r="2" spans="1:3" ht="24.95" customHeight="1">
      <c r="A2" s="112" t="s">
        <v>211</v>
      </c>
      <c r="B2" s="112" t="s">
        <v>325</v>
      </c>
      <c r="C2" s="112" t="s">
        <v>326</v>
      </c>
    </row>
    <row r="3" spans="1:3" ht="24.95" customHeight="1">
      <c r="A3" s="113" t="s">
        <v>2</v>
      </c>
      <c r="B3" s="114">
        <v>216038</v>
      </c>
      <c r="C3" s="111">
        <f t="shared" ref="C3" si="0">B3*3</f>
        <v>648114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"/>
  <sheetViews>
    <sheetView topLeftCell="B1" workbookViewId="0">
      <pane xSplit="2" ySplit="3" topLeftCell="D4" activePane="bottomRight" state="frozen"/>
      <selection activeCell="D2" sqref="D2:K2"/>
      <selection pane="topRight" activeCell="D2" sqref="D2:K2"/>
      <selection pane="bottomLeft" activeCell="D2" sqref="D2:K2"/>
      <selection pane="bottomRight" activeCell="D2" sqref="D2:K2"/>
    </sheetView>
  </sheetViews>
  <sheetFormatPr defaultColWidth="9" defaultRowHeight="11.25"/>
  <cols>
    <col min="1" max="1" width="8.125" style="37" hidden="1" customWidth="1"/>
    <col min="2" max="2" width="20.375" style="37" customWidth="1"/>
    <col min="3" max="3" width="5.75" style="37" customWidth="1"/>
    <col min="4" max="4" width="9.75" style="37" hidden="1" customWidth="1"/>
    <col min="5" max="24" width="9" style="37" hidden="1" customWidth="1"/>
    <col min="25" max="25" width="8.375" style="37" hidden="1" customWidth="1"/>
    <col min="26" max="26" width="9.625" style="37" hidden="1" customWidth="1"/>
    <col min="27" max="27" width="9.375" style="37" hidden="1" customWidth="1"/>
    <col min="28" max="28" width="12.5" style="37" hidden="1" customWidth="1"/>
    <col min="29" max="29" width="9.875" style="37" hidden="1" customWidth="1"/>
    <col min="30" max="30" width="11.625" style="37" customWidth="1"/>
    <col min="31" max="31" width="10.5" style="37" customWidth="1"/>
    <col min="32" max="32" width="10.875" style="37" customWidth="1"/>
    <col min="33" max="33" width="11.375" style="37" customWidth="1"/>
    <col min="34" max="34" width="11.625" style="37" customWidth="1"/>
    <col min="35" max="35" width="11.375" style="37" customWidth="1"/>
    <col min="36" max="36" width="9.125" style="37" bestFit="1" customWidth="1"/>
    <col min="37" max="37" width="11" style="37" customWidth="1"/>
    <col min="38" max="39" width="12.125" style="37" customWidth="1"/>
    <col min="40" max="40" width="12.5" style="37" customWidth="1"/>
    <col min="41" max="41" width="12.75" style="48" customWidth="1"/>
    <col min="42" max="16384" width="9" style="37"/>
  </cols>
  <sheetData>
    <row r="1" spans="1:41" ht="18.75">
      <c r="A1" s="201" t="s">
        <v>256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3"/>
    </row>
    <row r="2" spans="1:41" ht="11.25" customHeight="1">
      <c r="A2" s="204" t="s">
        <v>220</v>
      </c>
      <c r="B2" s="204" t="s">
        <v>221</v>
      </c>
      <c r="C2" s="204" t="s">
        <v>222</v>
      </c>
      <c r="D2" s="204" t="s">
        <v>223</v>
      </c>
      <c r="E2" s="204" t="s">
        <v>305</v>
      </c>
      <c r="F2" s="204"/>
      <c r="G2" s="204"/>
      <c r="H2" s="204"/>
      <c r="I2" s="204"/>
      <c r="J2" s="204" t="s">
        <v>306</v>
      </c>
      <c r="K2" s="204"/>
      <c r="L2" s="204"/>
      <c r="M2" s="204"/>
      <c r="N2" s="204"/>
      <c r="O2" s="207" t="s">
        <v>224</v>
      </c>
      <c r="P2" s="207"/>
      <c r="Q2" s="207"/>
      <c r="R2" s="207"/>
      <c r="S2" s="207"/>
      <c r="T2" s="207" t="s">
        <v>308</v>
      </c>
      <c r="U2" s="207"/>
      <c r="V2" s="207"/>
      <c r="W2" s="207"/>
      <c r="X2" s="207"/>
      <c r="Y2" s="207" t="s">
        <v>225</v>
      </c>
      <c r="Z2" s="207"/>
      <c r="AA2" s="207"/>
      <c r="AB2" s="207"/>
      <c r="AC2" s="207"/>
      <c r="AD2" s="204" t="s">
        <v>307</v>
      </c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5" t="s">
        <v>255</v>
      </c>
    </row>
    <row r="3" spans="1:41" ht="33.75">
      <c r="A3" s="204"/>
      <c r="B3" s="204"/>
      <c r="C3" s="204"/>
      <c r="D3" s="204"/>
      <c r="E3" s="38" t="s">
        <v>226</v>
      </c>
      <c r="F3" s="38" t="s">
        <v>227</v>
      </c>
      <c r="G3" s="38" t="s">
        <v>228</v>
      </c>
      <c r="H3" s="38" t="s">
        <v>229</v>
      </c>
      <c r="I3" s="39" t="s">
        <v>7</v>
      </c>
      <c r="J3" s="38" t="s">
        <v>226</v>
      </c>
      <c r="K3" s="38" t="s">
        <v>227</v>
      </c>
      <c r="L3" s="38" t="s">
        <v>228</v>
      </c>
      <c r="M3" s="38" t="s">
        <v>229</v>
      </c>
      <c r="N3" s="39" t="s">
        <v>7</v>
      </c>
      <c r="O3" s="38" t="s">
        <v>226</v>
      </c>
      <c r="P3" s="38" t="s">
        <v>227</v>
      </c>
      <c r="Q3" s="38" t="s">
        <v>228</v>
      </c>
      <c r="R3" s="38" t="s">
        <v>229</v>
      </c>
      <c r="S3" s="39" t="s">
        <v>7</v>
      </c>
      <c r="T3" s="38" t="s">
        <v>226</v>
      </c>
      <c r="U3" s="38" t="s">
        <v>227</v>
      </c>
      <c r="V3" s="38" t="s">
        <v>228</v>
      </c>
      <c r="W3" s="38" t="s">
        <v>229</v>
      </c>
      <c r="X3" s="39" t="s">
        <v>7</v>
      </c>
      <c r="Y3" s="38" t="s">
        <v>226</v>
      </c>
      <c r="Z3" s="38" t="s">
        <v>227</v>
      </c>
      <c r="AA3" s="38" t="s">
        <v>228</v>
      </c>
      <c r="AB3" s="38" t="s">
        <v>229</v>
      </c>
      <c r="AC3" s="39" t="s">
        <v>7</v>
      </c>
      <c r="AD3" s="38" t="s">
        <v>230</v>
      </c>
      <c r="AE3" s="38" t="s">
        <v>231</v>
      </c>
      <c r="AF3" s="38" t="s">
        <v>232</v>
      </c>
      <c r="AG3" s="38" t="s">
        <v>233</v>
      </c>
      <c r="AH3" s="38" t="s">
        <v>234</v>
      </c>
      <c r="AI3" s="38" t="s">
        <v>235</v>
      </c>
      <c r="AJ3" s="38" t="s">
        <v>236</v>
      </c>
      <c r="AK3" s="38" t="s">
        <v>237</v>
      </c>
      <c r="AL3" s="38" t="s">
        <v>238</v>
      </c>
      <c r="AM3" s="38" t="s">
        <v>239</v>
      </c>
      <c r="AN3" s="39" t="s">
        <v>240</v>
      </c>
      <c r="AO3" s="206"/>
    </row>
    <row r="4" spans="1:41" ht="17.100000000000001" customHeight="1">
      <c r="A4" s="40" t="s">
        <v>2</v>
      </c>
      <c r="B4" s="41" t="s">
        <v>207</v>
      </c>
      <c r="C4" s="41" t="s">
        <v>241</v>
      </c>
      <c r="D4" s="42">
        <v>2</v>
      </c>
      <c r="E4" s="47">
        <v>4.33</v>
      </c>
      <c r="F4" s="47">
        <v>3</v>
      </c>
      <c r="G4" s="47">
        <v>26.33</v>
      </c>
      <c r="H4" s="47">
        <v>3</v>
      </c>
      <c r="I4" s="43">
        <f t="shared" ref="I4:I17" si="0">SUM(E4:H4)</f>
        <v>36.659999999999997</v>
      </c>
      <c r="J4" s="42">
        <v>0</v>
      </c>
      <c r="K4" s="42">
        <v>0</v>
      </c>
      <c r="L4" s="42">
        <v>0</v>
      </c>
      <c r="M4" s="42">
        <v>0</v>
      </c>
      <c r="N4" s="43">
        <f t="shared" ref="N4:N17" si="1">SUM(J4:M4)</f>
        <v>0</v>
      </c>
      <c r="O4" s="43">
        <f>E4+J4</f>
        <v>4.33</v>
      </c>
      <c r="P4" s="43">
        <f t="shared" ref="P4:R17" si="2">F4+K4</f>
        <v>3</v>
      </c>
      <c r="Q4" s="43">
        <f t="shared" si="2"/>
        <v>26.33</v>
      </c>
      <c r="R4" s="43">
        <f t="shared" si="2"/>
        <v>3</v>
      </c>
      <c r="S4" s="43">
        <f t="shared" ref="S4:S17" si="3">SUM(O4:R4)</f>
        <v>36.659999999999997</v>
      </c>
      <c r="T4" s="43">
        <v>4.83</v>
      </c>
      <c r="U4" s="43">
        <v>2.5</v>
      </c>
      <c r="V4" s="43">
        <v>25.92</v>
      </c>
      <c r="W4" s="43">
        <v>2.5</v>
      </c>
      <c r="X4" s="43">
        <f t="shared" ref="X4:X17" si="4">SUM(T4:W4)</f>
        <v>35.75</v>
      </c>
      <c r="Y4" s="42">
        <v>4.83</v>
      </c>
      <c r="Z4" s="42">
        <v>2.5</v>
      </c>
      <c r="AA4" s="42">
        <v>25.92</v>
      </c>
      <c r="AB4" s="42">
        <v>2.5</v>
      </c>
      <c r="AC4" s="43">
        <f t="shared" ref="AC4:AC17" si="5">SUM(Y4:AB4)</f>
        <v>35.75</v>
      </c>
      <c r="AD4" s="43">
        <f t="shared" ref="AD4:AD17" si="6">(Y4*6400+Z4*5550+AA4*5094+AB4*4300)*12</f>
        <v>2250881.7600000002</v>
      </c>
      <c r="AE4" s="43">
        <f t="shared" ref="AE4:AE17" si="7">AC4*4320</f>
        <v>154440</v>
      </c>
      <c r="AF4" s="43">
        <f t="shared" ref="AF4:AF17" si="8">AC4*6000</f>
        <v>214500</v>
      </c>
      <c r="AG4" s="43">
        <f t="shared" ref="AG4:AG17" si="9">AC4*2400</f>
        <v>85800</v>
      </c>
      <c r="AH4" s="43">
        <f t="shared" ref="AH4:AH17" si="10">AC4*9400</f>
        <v>336050</v>
      </c>
      <c r="AI4" s="43">
        <f t="shared" ref="AI4:AI17" si="11">AC4*800</f>
        <v>28600</v>
      </c>
      <c r="AJ4" s="43">
        <f t="shared" ref="AJ4:AJ17" si="12">D4*50*200</f>
        <v>20000</v>
      </c>
      <c r="AK4" s="43">
        <f t="shared" ref="AK4:AK17" si="13">AC4*960</f>
        <v>34320</v>
      </c>
      <c r="AL4" s="43">
        <f t="shared" ref="AL4:AL17" si="14">ROUND((7310*12)*0.35256,2)*AC4</f>
        <v>1105624.52</v>
      </c>
      <c r="AM4" s="43"/>
      <c r="AN4" s="43">
        <f t="shared" ref="AN4:AN17" si="15">SUM(AD4:AM4)</f>
        <v>4230216.28</v>
      </c>
      <c r="AO4" s="49">
        <f t="shared" ref="AO4:AO17" si="16">ROUND(AN4*0.8,0)</f>
        <v>3384173</v>
      </c>
    </row>
    <row r="5" spans="1:41" ht="17.100000000000001" customHeight="1">
      <c r="A5" s="40" t="s">
        <v>2</v>
      </c>
      <c r="B5" s="41" t="s">
        <v>243</v>
      </c>
      <c r="C5" s="41" t="s">
        <v>241</v>
      </c>
      <c r="D5" s="42">
        <v>2</v>
      </c>
      <c r="E5" s="47"/>
      <c r="F5" s="47">
        <v>3</v>
      </c>
      <c r="G5" s="47">
        <v>27</v>
      </c>
      <c r="H5" s="47">
        <v>3</v>
      </c>
      <c r="I5" s="43">
        <f t="shared" si="0"/>
        <v>33</v>
      </c>
      <c r="J5" s="42">
        <v>10.33</v>
      </c>
      <c r="K5" s="42">
        <v>0</v>
      </c>
      <c r="L5" s="42">
        <v>0</v>
      </c>
      <c r="M5" s="42">
        <v>0</v>
      </c>
      <c r="N5" s="43">
        <f t="shared" si="1"/>
        <v>10.33</v>
      </c>
      <c r="O5" s="43">
        <f t="shared" ref="O5:O17" si="17">E5+J5</f>
        <v>10.33</v>
      </c>
      <c r="P5" s="43">
        <f t="shared" si="2"/>
        <v>3</v>
      </c>
      <c r="Q5" s="43">
        <f t="shared" si="2"/>
        <v>27</v>
      </c>
      <c r="R5" s="43">
        <f t="shared" si="2"/>
        <v>3</v>
      </c>
      <c r="S5" s="43">
        <f t="shared" si="3"/>
        <v>43.33</v>
      </c>
      <c r="T5" s="42">
        <v>10.42</v>
      </c>
      <c r="U5" s="42">
        <v>3</v>
      </c>
      <c r="V5" s="42">
        <v>26.67</v>
      </c>
      <c r="W5" s="42">
        <v>3</v>
      </c>
      <c r="X5" s="43">
        <f t="shared" si="4"/>
        <v>43.09</v>
      </c>
      <c r="Y5" s="43">
        <v>10.42</v>
      </c>
      <c r="Z5" s="43">
        <v>3</v>
      </c>
      <c r="AA5" s="43">
        <v>26.67</v>
      </c>
      <c r="AB5" s="43">
        <v>3</v>
      </c>
      <c r="AC5" s="43">
        <f t="shared" si="5"/>
        <v>43.09</v>
      </c>
      <c r="AD5" s="43">
        <f t="shared" si="6"/>
        <v>2785139.7600000002</v>
      </c>
      <c r="AE5" s="43">
        <f t="shared" si="7"/>
        <v>186148.80000000002</v>
      </c>
      <c r="AF5" s="43">
        <f t="shared" si="8"/>
        <v>258540.00000000003</v>
      </c>
      <c r="AG5" s="43">
        <f t="shared" si="9"/>
        <v>103416.00000000001</v>
      </c>
      <c r="AH5" s="43">
        <f t="shared" si="10"/>
        <v>405046.00000000006</v>
      </c>
      <c r="AI5" s="43">
        <f t="shared" si="11"/>
        <v>34472</v>
      </c>
      <c r="AJ5" s="43">
        <f t="shared" si="12"/>
        <v>20000</v>
      </c>
      <c r="AK5" s="43">
        <f t="shared" si="13"/>
        <v>41366.400000000001</v>
      </c>
      <c r="AL5" s="43">
        <f t="shared" si="14"/>
        <v>1332625.4704000002</v>
      </c>
      <c r="AM5" s="43"/>
      <c r="AN5" s="43">
        <f t="shared" si="15"/>
        <v>5166754.4304</v>
      </c>
      <c r="AO5" s="49">
        <f t="shared" si="16"/>
        <v>4133404</v>
      </c>
    </row>
    <row r="6" spans="1:41" ht="17.100000000000001" customHeight="1">
      <c r="A6" s="40" t="s">
        <v>2</v>
      </c>
      <c r="B6" s="41" t="s">
        <v>244</v>
      </c>
      <c r="C6" s="41" t="s">
        <v>241</v>
      </c>
      <c r="D6" s="42">
        <v>2</v>
      </c>
      <c r="E6" s="47">
        <v>3.33</v>
      </c>
      <c r="F6" s="47">
        <v>3</v>
      </c>
      <c r="G6" s="47">
        <v>35.33</v>
      </c>
      <c r="H6" s="47">
        <v>4</v>
      </c>
      <c r="I6" s="43">
        <f t="shared" si="0"/>
        <v>45.66</v>
      </c>
      <c r="J6" s="42">
        <v>0</v>
      </c>
      <c r="K6" s="42">
        <v>3</v>
      </c>
      <c r="L6" s="42">
        <v>0</v>
      </c>
      <c r="M6" s="42">
        <v>0</v>
      </c>
      <c r="N6" s="43">
        <f t="shared" si="1"/>
        <v>3</v>
      </c>
      <c r="O6" s="43">
        <f t="shared" si="17"/>
        <v>3.33</v>
      </c>
      <c r="P6" s="43">
        <f t="shared" si="2"/>
        <v>6</v>
      </c>
      <c r="Q6" s="43">
        <f t="shared" si="2"/>
        <v>35.33</v>
      </c>
      <c r="R6" s="43">
        <f t="shared" si="2"/>
        <v>4</v>
      </c>
      <c r="S6" s="43">
        <f t="shared" si="3"/>
        <v>48.66</v>
      </c>
      <c r="T6" s="42">
        <v>2.33</v>
      </c>
      <c r="U6" s="42">
        <v>6.5</v>
      </c>
      <c r="V6" s="42">
        <v>34.25</v>
      </c>
      <c r="W6" s="42">
        <v>5</v>
      </c>
      <c r="X6" s="43">
        <f t="shared" si="4"/>
        <v>48.08</v>
      </c>
      <c r="Y6" s="43">
        <v>2.33</v>
      </c>
      <c r="Z6" s="43">
        <v>6.5</v>
      </c>
      <c r="AA6" s="43">
        <v>34.25</v>
      </c>
      <c r="AB6" s="43">
        <v>5</v>
      </c>
      <c r="AC6" s="43">
        <f t="shared" si="5"/>
        <v>48.08</v>
      </c>
      <c r="AD6" s="43">
        <f t="shared" si="6"/>
        <v>2963478</v>
      </c>
      <c r="AE6" s="43">
        <f t="shared" si="7"/>
        <v>207705.60000000001</v>
      </c>
      <c r="AF6" s="43">
        <f t="shared" si="8"/>
        <v>288480</v>
      </c>
      <c r="AG6" s="43">
        <f t="shared" si="9"/>
        <v>115392</v>
      </c>
      <c r="AH6" s="43">
        <f t="shared" si="10"/>
        <v>451952</v>
      </c>
      <c r="AI6" s="43">
        <f t="shared" si="11"/>
        <v>38464</v>
      </c>
      <c r="AJ6" s="43">
        <f t="shared" si="12"/>
        <v>20000</v>
      </c>
      <c r="AK6" s="43">
        <f t="shared" si="13"/>
        <v>46156.799999999996</v>
      </c>
      <c r="AL6" s="43">
        <f t="shared" si="14"/>
        <v>1486949.0048</v>
      </c>
      <c r="AM6" s="43"/>
      <c r="AN6" s="43">
        <f t="shared" si="15"/>
        <v>5618577.4047999997</v>
      </c>
      <c r="AO6" s="49">
        <f t="shared" si="16"/>
        <v>4494862</v>
      </c>
    </row>
    <row r="7" spans="1:41" ht="17.100000000000001" customHeight="1">
      <c r="A7" s="40" t="s">
        <v>2</v>
      </c>
      <c r="B7" s="41" t="s">
        <v>245</v>
      </c>
      <c r="C7" s="41" t="s">
        <v>241</v>
      </c>
      <c r="D7" s="42">
        <v>3</v>
      </c>
      <c r="E7" s="47">
        <v>0</v>
      </c>
      <c r="F7" s="47">
        <v>2</v>
      </c>
      <c r="G7" s="47">
        <v>25.67</v>
      </c>
      <c r="H7" s="47">
        <v>2.67</v>
      </c>
      <c r="I7" s="43">
        <f t="shared" si="0"/>
        <v>30.340000000000003</v>
      </c>
      <c r="J7" s="42">
        <v>0</v>
      </c>
      <c r="K7" s="42">
        <v>0</v>
      </c>
      <c r="L7" s="42">
        <v>0</v>
      </c>
      <c r="M7" s="42">
        <v>0</v>
      </c>
      <c r="N7" s="43">
        <f t="shared" si="1"/>
        <v>0</v>
      </c>
      <c r="O7" s="43">
        <f t="shared" si="17"/>
        <v>0</v>
      </c>
      <c r="P7" s="43">
        <f t="shared" si="2"/>
        <v>2</v>
      </c>
      <c r="Q7" s="43">
        <f t="shared" si="2"/>
        <v>25.67</v>
      </c>
      <c r="R7" s="43">
        <f t="shared" si="2"/>
        <v>2.67</v>
      </c>
      <c r="S7" s="43">
        <f t="shared" si="3"/>
        <v>30.340000000000003</v>
      </c>
      <c r="T7" s="42">
        <v>0</v>
      </c>
      <c r="U7" s="42">
        <v>3.67</v>
      </c>
      <c r="V7" s="42">
        <v>24</v>
      </c>
      <c r="W7" s="42">
        <v>1.75</v>
      </c>
      <c r="X7" s="43">
        <f t="shared" si="4"/>
        <v>29.42</v>
      </c>
      <c r="Y7" s="43">
        <v>0</v>
      </c>
      <c r="Z7" s="43">
        <v>3.67</v>
      </c>
      <c r="AA7" s="43">
        <v>24</v>
      </c>
      <c r="AB7" s="43">
        <v>1.75</v>
      </c>
      <c r="AC7" s="43">
        <f t="shared" si="5"/>
        <v>29.42</v>
      </c>
      <c r="AD7" s="43">
        <f t="shared" si="6"/>
        <v>1801794</v>
      </c>
      <c r="AE7" s="43">
        <f t="shared" si="7"/>
        <v>127094.40000000001</v>
      </c>
      <c r="AF7" s="43">
        <f t="shared" si="8"/>
        <v>176520</v>
      </c>
      <c r="AG7" s="43">
        <f t="shared" si="9"/>
        <v>70608</v>
      </c>
      <c r="AH7" s="43">
        <f t="shared" si="10"/>
        <v>276548</v>
      </c>
      <c r="AI7" s="43">
        <f t="shared" si="11"/>
        <v>23536</v>
      </c>
      <c r="AJ7" s="43">
        <f t="shared" si="12"/>
        <v>30000</v>
      </c>
      <c r="AK7" s="43">
        <f t="shared" si="13"/>
        <v>28243.200000000001</v>
      </c>
      <c r="AL7" s="43">
        <f t="shared" si="14"/>
        <v>909859.39520000014</v>
      </c>
      <c r="AM7" s="43"/>
      <c r="AN7" s="43">
        <f t="shared" si="15"/>
        <v>3444202.9952000002</v>
      </c>
      <c r="AO7" s="49">
        <f t="shared" si="16"/>
        <v>2755362</v>
      </c>
    </row>
    <row r="8" spans="1:41" ht="17.100000000000001" customHeight="1">
      <c r="A8" s="40" t="s">
        <v>2</v>
      </c>
      <c r="B8" s="41" t="s">
        <v>202</v>
      </c>
      <c r="C8" s="41" t="s">
        <v>242</v>
      </c>
      <c r="D8" s="42"/>
      <c r="E8" s="47">
        <v>0</v>
      </c>
      <c r="F8" s="47">
        <v>3.33</v>
      </c>
      <c r="G8" s="47">
        <v>0</v>
      </c>
      <c r="H8" s="47">
        <v>5.67</v>
      </c>
      <c r="I8" s="43">
        <f t="shared" si="0"/>
        <v>9</v>
      </c>
      <c r="J8" s="42">
        <v>0.57999999999999996</v>
      </c>
      <c r="K8" s="42">
        <v>0.33</v>
      </c>
      <c r="L8" s="42">
        <v>0</v>
      </c>
      <c r="M8" s="42">
        <v>0.67</v>
      </c>
      <c r="N8" s="43">
        <f t="shared" si="1"/>
        <v>1.58</v>
      </c>
      <c r="O8" s="43">
        <f t="shared" si="17"/>
        <v>0.57999999999999996</v>
      </c>
      <c r="P8" s="43">
        <f t="shared" si="2"/>
        <v>3.66</v>
      </c>
      <c r="Q8" s="43">
        <f t="shared" si="2"/>
        <v>0</v>
      </c>
      <c r="R8" s="43">
        <f t="shared" si="2"/>
        <v>6.34</v>
      </c>
      <c r="S8" s="43">
        <f t="shared" si="3"/>
        <v>10.58</v>
      </c>
      <c r="T8" s="42">
        <v>0.57999999999999996</v>
      </c>
      <c r="U8" s="42">
        <v>3</v>
      </c>
      <c r="V8" s="42">
        <v>0</v>
      </c>
      <c r="W8" s="42">
        <v>7</v>
      </c>
      <c r="X8" s="43">
        <f t="shared" si="4"/>
        <v>10.58</v>
      </c>
      <c r="Y8" s="43">
        <v>0.57999999999999996</v>
      </c>
      <c r="Z8" s="43">
        <v>3</v>
      </c>
      <c r="AA8" s="43">
        <v>0</v>
      </c>
      <c r="AB8" s="43">
        <v>7</v>
      </c>
      <c r="AC8" s="43">
        <f t="shared" si="5"/>
        <v>10.58</v>
      </c>
      <c r="AD8" s="43">
        <f t="shared" si="6"/>
        <v>605544</v>
      </c>
      <c r="AE8" s="43">
        <f t="shared" si="7"/>
        <v>45705.599999999999</v>
      </c>
      <c r="AF8" s="43">
        <f t="shared" si="8"/>
        <v>63480</v>
      </c>
      <c r="AG8" s="43">
        <f t="shared" si="9"/>
        <v>25392</v>
      </c>
      <c r="AH8" s="43">
        <f t="shared" si="10"/>
        <v>99452</v>
      </c>
      <c r="AI8" s="43">
        <f t="shared" si="11"/>
        <v>8464</v>
      </c>
      <c r="AJ8" s="43">
        <f t="shared" si="12"/>
        <v>0</v>
      </c>
      <c r="AK8" s="43">
        <f t="shared" si="13"/>
        <v>10156.799999999999</v>
      </c>
      <c r="AL8" s="43">
        <f t="shared" si="14"/>
        <v>327203.0048</v>
      </c>
      <c r="AM8" s="43">
        <v>2677.5</v>
      </c>
      <c r="AN8" s="43">
        <f t="shared" si="15"/>
        <v>1188074.9048000001</v>
      </c>
      <c r="AO8" s="49">
        <f t="shared" si="16"/>
        <v>950460</v>
      </c>
    </row>
    <row r="9" spans="1:41" ht="17.100000000000001" customHeight="1">
      <c r="A9" s="40" t="s">
        <v>2</v>
      </c>
      <c r="B9" s="41" t="s">
        <v>246</v>
      </c>
      <c r="C9" s="41" t="s">
        <v>242</v>
      </c>
      <c r="D9" s="42"/>
      <c r="E9" s="47">
        <v>10</v>
      </c>
      <c r="F9" s="47">
        <v>10.67</v>
      </c>
      <c r="G9" s="47">
        <v>0</v>
      </c>
      <c r="H9" s="47">
        <v>11.33</v>
      </c>
      <c r="I9" s="43">
        <f t="shared" si="0"/>
        <v>32</v>
      </c>
      <c r="J9" s="42">
        <v>5</v>
      </c>
      <c r="K9" s="42">
        <v>0</v>
      </c>
      <c r="L9" s="42">
        <v>0</v>
      </c>
      <c r="M9" s="42">
        <v>0</v>
      </c>
      <c r="N9" s="43">
        <f t="shared" si="1"/>
        <v>5</v>
      </c>
      <c r="O9" s="43">
        <f t="shared" si="17"/>
        <v>15</v>
      </c>
      <c r="P9" s="43">
        <f t="shared" si="2"/>
        <v>10.67</v>
      </c>
      <c r="Q9" s="43">
        <f t="shared" si="2"/>
        <v>0</v>
      </c>
      <c r="R9" s="43">
        <f t="shared" si="2"/>
        <v>11.33</v>
      </c>
      <c r="S9" s="43">
        <f t="shared" si="3"/>
        <v>37</v>
      </c>
      <c r="T9" s="42">
        <v>15.58</v>
      </c>
      <c r="U9" s="42">
        <v>12.5</v>
      </c>
      <c r="V9" s="42">
        <v>0</v>
      </c>
      <c r="W9" s="42">
        <v>7.5</v>
      </c>
      <c r="X9" s="43">
        <f t="shared" si="4"/>
        <v>35.58</v>
      </c>
      <c r="Y9" s="43">
        <v>15.58</v>
      </c>
      <c r="Z9" s="43">
        <v>12.5</v>
      </c>
      <c r="AA9" s="43">
        <v>0</v>
      </c>
      <c r="AB9" s="43">
        <v>7.5</v>
      </c>
      <c r="AC9" s="43">
        <f t="shared" si="5"/>
        <v>35.58</v>
      </c>
      <c r="AD9" s="43">
        <f t="shared" si="6"/>
        <v>2416044</v>
      </c>
      <c r="AE9" s="43">
        <f t="shared" si="7"/>
        <v>153705.60000000001</v>
      </c>
      <c r="AF9" s="43">
        <f t="shared" si="8"/>
        <v>213480</v>
      </c>
      <c r="AG9" s="43">
        <f t="shared" si="9"/>
        <v>85392</v>
      </c>
      <c r="AH9" s="43">
        <f t="shared" si="10"/>
        <v>334452</v>
      </c>
      <c r="AI9" s="43">
        <f t="shared" si="11"/>
        <v>28464</v>
      </c>
      <c r="AJ9" s="43">
        <f t="shared" si="12"/>
        <v>0</v>
      </c>
      <c r="AK9" s="43">
        <f t="shared" si="13"/>
        <v>34156.799999999996</v>
      </c>
      <c r="AL9" s="43">
        <f t="shared" si="14"/>
        <v>1100367.0048</v>
      </c>
      <c r="AM9" s="43">
        <v>199602.5</v>
      </c>
      <c r="AN9" s="43">
        <f t="shared" si="15"/>
        <v>4565663.9047999997</v>
      </c>
      <c r="AO9" s="49">
        <f t="shared" si="16"/>
        <v>3652531</v>
      </c>
    </row>
    <row r="10" spans="1:41" ht="17.100000000000001" customHeight="1">
      <c r="A10" s="40" t="s">
        <v>2</v>
      </c>
      <c r="B10" s="41" t="s">
        <v>247</v>
      </c>
      <c r="C10" s="41" t="s">
        <v>242</v>
      </c>
      <c r="D10" s="42"/>
      <c r="E10" s="47">
        <v>0</v>
      </c>
      <c r="F10" s="47">
        <v>3.33</v>
      </c>
      <c r="G10" s="47">
        <v>0</v>
      </c>
      <c r="H10" s="47">
        <v>3.33</v>
      </c>
      <c r="I10" s="43">
        <f t="shared" si="0"/>
        <v>6.66</v>
      </c>
      <c r="J10" s="42">
        <v>1.33</v>
      </c>
      <c r="K10" s="42">
        <v>0</v>
      </c>
      <c r="L10" s="42">
        <v>0</v>
      </c>
      <c r="M10" s="42">
        <v>0</v>
      </c>
      <c r="N10" s="43">
        <f t="shared" si="1"/>
        <v>1.33</v>
      </c>
      <c r="O10" s="43">
        <f t="shared" si="17"/>
        <v>1.33</v>
      </c>
      <c r="P10" s="43">
        <f t="shared" si="2"/>
        <v>3.33</v>
      </c>
      <c r="Q10" s="43">
        <f t="shared" si="2"/>
        <v>0</v>
      </c>
      <c r="R10" s="43">
        <f t="shared" si="2"/>
        <v>3.33</v>
      </c>
      <c r="S10" s="43">
        <f t="shared" si="3"/>
        <v>7.99</v>
      </c>
      <c r="T10" s="42">
        <v>1.83</v>
      </c>
      <c r="U10" s="42">
        <v>3</v>
      </c>
      <c r="V10" s="42">
        <v>0</v>
      </c>
      <c r="W10" s="42">
        <v>3</v>
      </c>
      <c r="X10" s="43">
        <f t="shared" si="4"/>
        <v>7.83</v>
      </c>
      <c r="Y10" s="43">
        <v>1.83</v>
      </c>
      <c r="Z10" s="43">
        <v>3</v>
      </c>
      <c r="AA10" s="43">
        <v>0</v>
      </c>
      <c r="AB10" s="43">
        <v>3</v>
      </c>
      <c r="AC10" s="43">
        <f t="shared" si="5"/>
        <v>7.83</v>
      </c>
      <c r="AD10" s="43">
        <f t="shared" si="6"/>
        <v>495144</v>
      </c>
      <c r="AE10" s="43">
        <f t="shared" si="7"/>
        <v>33825.599999999999</v>
      </c>
      <c r="AF10" s="43">
        <f t="shared" si="8"/>
        <v>46980</v>
      </c>
      <c r="AG10" s="43">
        <f t="shared" si="9"/>
        <v>18792</v>
      </c>
      <c r="AH10" s="43">
        <f t="shared" si="10"/>
        <v>73602</v>
      </c>
      <c r="AI10" s="43">
        <f t="shared" si="11"/>
        <v>6264</v>
      </c>
      <c r="AJ10" s="43">
        <f t="shared" si="12"/>
        <v>0</v>
      </c>
      <c r="AK10" s="43">
        <f t="shared" si="13"/>
        <v>7516.8</v>
      </c>
      <c r="AL10" s="43">
        <f t="shared" si="14"/>
        <v>242154.96480000002</v>
      </c>
      <c r="AM10" s="43">
        <v>10902</v>
      </c>
      <c r="AN10" s="43">
        <f t="shared" si="15"/>
        <v>935181.3648000001</v>
      </c>
      <c r="AO10" s="49">
        <f t="shared" si="16"/>
        <v>748145</v>
      </c>
    </row>
    <row r="11" spans="1:41" ht="17.100000000000001" customHeight="1">
      <c r="A11" s="40" t="s">
        <v>2</v>
      </c>
      <c r="B11" s="41" t="s">
        <v>200</v>
      </c>
      <c r="C11" s="41" t="s">
        <v>242</v>
      </c>
      <c r="D11" s="42"/>
      <c r="E11" s="47">
        <v>0</v>
      </c>
      <c r="F11" s="47">
        <v>3.33</v>
      </c>
      <c r="G11" s="47">
        <v>0</v>
      </c>
      <c r="H11" s="47">
        <v>5.67</v>
      </c>
      <c r="I11" s="43">
        <f t="shared" si="0"/>
        <v>9</v>
      </c>
      <c r="J11" s="42">
        <v>0</v>
      </c>
      <c r="K11" s="42">
        <v>0</v>
      </c>
      <c r="L11" s="42">
        <v>0</v>
      </c>
      <c r="M11" s="42">
        <v>0</v>
      </c>
      <c r="N11" s="43">
        <f t="shared" si="1"/>
        <v>0</v>
      </c>
      <c r="O11" s="43">
        <f t="shared" si="17"/>
        <v>0</v>
      </c>
      <c r="P11" s="43">
        <f t="shared" si="2"/>
        <v>3.33</v>
      </c>
      <c r="Q11" s="43">
        <f t="shared" si="2"/>
        <v>0</v>
      </c>
      <c r="R11" s="43">
        <f t="shared" si="2"/>
        <v>5.67</v>
      </c>
      <c r="S11" s="43">
        <f t="shared" si="3"/>
        <v>9</v>
      </c>
      <c r="T11" s="42">
        <v>0</v>
      </c>
      <c r="U11" s="42">
        <v>2</v>
      </c>
      <c r="V11" s="42">
        <v>0</v>
      </c>
      <c r="W11" s="42">
        <v>6</v>
      </c>
      <c r="X11" s="43">
        <f t="shared" si="4"/>
        <v>8</v>
      </c>
      <c r="Y11" s="43">
        <v>0</v>
      </c>
      <c r="Z11" s="43">
        <v>2</v>
      </c>
      <c r="AA11" s="43">
        <v>0</v>
      </c>
      <c r="AB11" s="43">
        <v>6</v>
      </c>
      <c r="AC11" s="43">
        <f t="shared" si="5"/>
        <v>8</v>
      </c>
      <c r="AD11" s="43">
        <f t="shared" si="6"/>
        <v>442800</v>
      </c>
      <c r="AE11" s="43">
        <f t="shared" si="7"/>
        <v>34560</v>
      </c>
      <c r="AF11" s="43">
        <f t="shared" si="8"/>
        <v>48000</v>
      </c>
      <c r="AG11" s="43">
        <f t="shared" si="9"/>
        <v>19200</v>
      </c>
      <c r="AH11" s="43">
        <f t="shared" si="10"/>
        <v>75200</v>
      </c>
      <c r="AI11" s="43">
        <f t="shared" si="11"/>
        <v>6400</v>
      </c>
      <c r="AJ11" s="43">
        <f t="shared" si="12"/>
        <v>0</v>
      </c>
      <c r="AK11" s="43">
        <f t="shared" si="13"/>
        <v>7680</v>
      </c>
      <c r="AL11" s="43">
        <f t="shared" si="14"/>
        <v>247412.48000000001</v>
      </c>
      <c r="AM11" s="43">
        <v>383</v>
      </c>
      <c r="AN11" s="43">
        <f t="shared" si="15"/>
        <v>881635.48</v>
      </c>
      <c r="AO11" s="49">
        <f t="shared" si="16"/>
        <v>705308</v>
      </c>
    </row>
    <row r="12" spans="1:41" ht="17.100000000000001" customHeight="1">
      <c r="A12" s="40" t="s">
        <v>2</v>
      </c>
      <c r="B12" s="41" t="s">
        <v>248</v>
      </c>
      <c r="C12" s="41" t="s">
        <v>242</v>
      </c>
      <c r="D12" s="42"/>
      <c r="E12" s="47">
        <v>1</v>
      </c>
      <c r="F12" s="47">
        <v>3.67</v>
      </c>
      <c r="G12" s="47">
        <v>0</v>
      </c>
      <c r="H12" s="47">
        <v>6</v>
      </c>
      <c r="I12" s="43">
        <f t="shared" si="0"/>
        <v>10.67</v>
      </c>
      <c r="J12" s="42">
        <v>0.5</v>
      </c>
      <c r="K12" s="42">
        <v>0</v>
      </c>
      <c r="L12" s="42">
        <v>0</v>
      </c>
      <c r="M12" s="42">
        <v>0</v>
      </c>
      <c r="N12" s="43">
        <f t="shared" si="1"/>
        <v>0.5</v>
      </c>
      <c r="O12" s="43">
        <f t="shared" si="17"/>
        <v>1.5</v>
      </c>
      <c r="P12" s="43">
        <f t="shared" si="2"/>
        <v>3.67</v>
      </c>
      <c r="Q12" s="43">
        <f t="shared" si="2"/>
        <v>0</v>
      </c>
      <c r="R12" s="43">
        <f t="shared" si="2"/>
        <v>6</v>
      </c>
      <c r="S12" s="43">
        <f t="shared" si="3"/>
        <v>11.17</v>
      </c>
      <c r="T12" s="42">
        <v>2.42</v>
      </c>
      <c r="U12" s="42">
        <v>1.83</v>
      </c>
      <c r="V12" s="42">
        <v>0</v>
      </c>
      <c r="W12" s="42">
        <v>5.17</v>
      </c>
      <c r="X12" s="43">
        <f t="shared" si="4"/>
        <v>9.42</v>
      </c>
      <c r="Y12" s="43">
        <v>2.42</v>
      </c>
      <c r="Z12" s="43">
        <v>1.83</v>
      </c>
      <c r="AA12" s="43">
        <v>0</v>
      </c>
      <c r="AB12" s="43">
        <v>5.17</v>
      </c>
      <c r="AC12" s="43">
        <f t="shared" si="5"/>
        <v>9.42</v>
      </c>
      <c r="AD12" s="43">
        <f t="shared" si="6"/>
        <v>574506</v>
      </c>
      <c r="AE12" s="43">
        <f t="shared" si="7"/>
        <v>40694.400000000001</v>
      </c>
      <c r="AF12" s="43">
        <f t="shared" si="8"/>
        <v>56520</v>
      </c>
      <c r="AG12" s="43">
        <f t="shared" si="9"/>
        <v>22608</v>
      </c>
      <c r="AH12" s="43">
        <f t="shared" si="10"/>
        <v>88548</v>
      </c>
      <c r="AI12" s="43">
        <f t="shared" si="11"/>
        <v>7536</v>
      </c>
      <c r="AJ12" s="43">
        <f t="shared" si="12"/>
        <v>0</v>
      </c>
      <c r="AK12" s="43">
        <f t="shared" si="13"/>
        <v>9043.2000000000007</v>
      </c>
      <c r="AL12" s="43">
        <f t="shared" si="14"/>
        <v>291328.19520000002</v>
      </c>
      <c r="AM12" s="43">
        <v>50872.5</v>
      </c>
      <c r="AN12" s="43">
        <f t="shared" si="15"/>
        <v>1141656.2952000001</v>
      </c>
      <c r="AO12" s="49">
        <f t="shared" si="16"/>
        <v>913325</v>
      </c>
    </row>
    <row r="13" spans="1:41" ht="17.100000000000001" customHeight="1">
      <c r="A13" s="40" t="s">
        <v>2</v>
      </c>
      <c r="B13" s="41" t="s">
        <v>249</v>
      </c>
      <c r="C13" s="41" t="s">
        <v>242</v>
      </c>
      <c r="D13" s="42"/>
      <c r="E13" s="47">
        <v>0</v>
      </c>
      <c r="F13" s="47">
        <v>6</v>
      </c>
      <c r="G13" s="47">
        <v>0</v>
      </c>
      <c r="H13" s="47">
        <v>6</v>
      </c>
      <c r="I13" s="43">
        <f t="shared" si="0"/>
        <v>12</v>
      </c>
      <c r="J13" s="42">
        <v>0</v>
      </c>
      <c r="K13" s="42">
        <v>1</v>
      </c>
      <c r="L13" s="42">
        <v>0</v>
      </c>
      <c r="M13" s="42">
        <v>0</v>
      </c>
      <c r="N13" s="43">
        <f t="shared" si="1"/>
        <v>1</v>
      </c>
      <c r="O13" s="43">
        <f t="shared" si="17"/>
        <v>0</v>
      </c>
      <c r="P13" s="43">
        <f t="shared" si="2"/>
        <v>7</v>
      </c>
      <c r="Q13" s="43">
        <f t="shared" si="2"/>
        <v>0</v>
      </c>
      <c r="R13" s="43">
        <f t="shared" si="2"/>
        <v>6</v>
      </c>
      <c r="S13" s="43">
        <f t="shared" si="3"/>
        <v>13</v>
      </c>
      <c r="T13" s="42">
        <v>0</v>
      </c>
      <c r="U13" s="42">
        <v>7</v>
      </c>
      <c r="V13" s="42">
        <v>0</v>
      </c>
      <c r="W13" s="42">
        <v>6</v>
      </c>
      <c r="X13" s="43">
        <f t="shared" si="4"/>
        <v>13</v>
      </c>
      <c r="Y13" s="43">
        <v>0</v>
      </c>
      <c r="Z13" s="43">
        <v>7</v>
      </c>
      <c r="AA13" s="43">
        <v>0</v>
      </c>
      <c r="AB13" s="43">
        <v>6</v>
      </c>
      <c r="AC13" s="43">
        <f t="shared" si="5"/>
        <v>13</v>
      </c>
      <c r="AD13" s="43">
        <f t="shared" si="6"/>
        <v>775800</v>
      </c>
      <c r="AE13" s="43">
        <f t="shared" si="7"/>
        <v>56160</v>
      </c>
      <c r="AF13" s="43">
        <f t="shared" si="8"/>
        <v>78000</v>
      </c>
      <c r="AG13" s="43">
        <f t="shared" si="9"/>
        <v>31200</v>
      </c>
      <c r="AH13" s="43">
        <f t="shared" si="10"/>
        <v>122200</v>
      </c>
      <c r="AI13" s="43">
        <f t="shared" si="11"/>
        <v>10400</v>
      </c>
      <c r="AJ13" s="43">
        <f t="shared" si="12"/>
        <v>0</v>
      </c>
      <c r="AK13" s="43">
        <f t="shared" si="13"/>
        <v>12480</v>
      </c>
      <c r="AL13" s="43">
        <f t="shared" si="14"/>
        <v>402045.28</v>
      </c>
      <c r="AM13" s="43">
        <v>44532</v>
      </c>
      <c r="AN13" s="43">
        <f t="shared" si="15"/>
        <v>1532817.28</v>
      </c>
      <c r="AO13" s="49">
        <f t="shared" si="16"/>
        <v>1226254</v>
      </c>
    </row>
    <row r="14" spans="1:41" ht="17.100000000000001" customHeight="1">
      <c r="A14" s="40" t="s">
        <v>2</v>
      </c>
      <c r="B14" s="41" t="s">
        <v>250</v>
      </c>
      <c r="C14" s="41" t="s">
        <v>242</v>
      </c>
      <c r="D14" s="42"/>
      <c r="E14" s="47">
        <v>1</v>
      </c>
      <c r="F14" s="47">
        <v>5.33</v>
      </c>
      <c r="G14" s="47">
        <v>0</v>
      </c>
      <c r="H14" s="47">
        <v>10</v>
      </c>
      <c r="I14" s="43">
        <f t="shared" si="0"/>
        <v>16.329999999999998</v>
      </c>
      <c r="J14" s="42">
        <v>3</v>
      </c>
      <c r="K14" s="42">
        <v>0</v>
      </c>
      <c r="L14" s="42">
        <v>0</v>
      </c>
      <c r="M14" s="42">
        <v>0</v>
      </c>
      <c r="N14" s="43">
        <f t="shared" si="1"/>
        <v>3</v>
      </c>
      <c r="O14" s="43">
        <f t="shared" si="17"/>
        <v>4</v>
      </c>
      <c r="P14" s="43">
        <f t="shared" si="2"/>
        <v>5.33</v>
      </c>
      <c r="Q14" s="43">
        <f t="shared" si="2"/>
        <v>0</v>
      </c>
      <c r="R14" s="43">
        <f t="shared" si="2"/>
        <v>10</v>
      </c>
      <c r="S14" s="43">
        <f t="shared" si="3"/>
        <v>19.329999999999998</v>
      </c>
      <c r="T14" s="42">
        <v>3</v>
      </c>
      <c r="U14" s="42">
        <v>10</v>
      </c>
      <c r="V14" s="42">
        <v>0</v>
      </c>
      <c r="W14" s="42">
        <v>6</v>
      </c>
      <c r="X14" s="43">
        <f t="shared" si="4"/>
        <v>19</v>
      </c>
      <c r="Y14" s="43">
        <v>3</v>
      </c>
      <c r="Z14" s="43">
        <v>10</v>
      </c>
      <c r="AA14" s="43">
        <v>0</v>
      </c>
      <c r="AB14" s="43">
        <v>6</v>
      </c>
      <c r="AC14" s="43">
        <f t="shared" si="5"/>
        <v>19</v>
      </c>
      <c r="AD14" s="43">
        <f t="shared" si="6"/>
        <v>1206000</v>
      </c>
      <c r="AE14" s="43">
        <f t="shared" si="7"/>
        <v>82080</v>
      </c>
      <c r="AF14" s="43">
        <f t="shared" si="8"/>
        <v>114000</v>
      </c>
      <c r="AG14" s="43">
        <f t="shared" si="9"/>
        <v>45600</v>
      </c>
      <c r="AH14" s="43">
        <f t="shared" si="10"/>
        <v>178600</v>
      </c>
      <c r="AI14" s="43">
        <f t="shared" si="11"/>
        <v>15200</v>
      </c>
      <c r="AJ14" s="43">
        <f t="shared" si="12"/>
        <v>0</v>
      </c>
      <c r="AK14" s="43">
        <f t="shared" si="13"/>
        <v>18240</v>
      </c>
      <c r="AL14" s="43">
        <f t="shared" si="14"/>
        <v>587604.64</v>
      </c>
      <c r="AM14" s="43">
        <v>24489.5</v>
      </c>
      <c r="AN14" s="43">
        <f t="shared" si="15"/>
        <v>2271814.14</v>
      </c>
      <c r="AO14" s="49">
        <f t="shared" si="16"/>
        <v>1817451</v>
      </c>
    </row>
    <row r="15" spans="1:41" ht="17.100000000000001" customHeight="1">
      <c r="A15" s="40" t="s">
        <v>2</v>
      </c>
      <c r="B15" s="41" t="s">
        <v>251</v>
      </c>
      <c r="C15" s="41" t="s">
        <v>242</v>
      </c>
      <c r="D15" s="42"/>
      <c r="E15" s="47">
        <v>4</v>
      </c>
      <c r="F15" s="47">
        <v>3</v>
      </c>
      <c r="G15" s="47">
        <v>0</v>
      </c>
      <c r="H15" s="47">
        <v>4.67</v>
      </c>
      <c r="I15" s="43">
        <f t="shared" si="0"/>
        <v>11.67</v>
      </c>
      <c r="J15" s="42">
        <v>1</v>
      </c>
      <c r="K15" s="42">
        <v>0</v>
      </c>
      <c r="L15" s="42">
        <v>0</v>
      </c>
      <c r="M15" s="42">
        <v>0</v>
      </c>
      <c r="N15" s="43">
        <f t="shared" si="1"/>
        <v>1</v>
      </c>
      <c r="O15" s="43">
        <f t="shared" si="17"/>
        <v>5</v>
      </c>
      <c r="P15" s="43">
        <f t="shared" si="2"/>
        <v>3</v>
      </c>
      <c r="Q15" s="43">
        <f t="shared" si="2"/>
        <v>0</v>
      </c>
      <c r="R15" s="43">
        <f t="shared" si="2"/>
        <v>4.67</v>
      </c>
      <c r="S15" s="43">
        <f t="shared" si="3"/>
        <v>12.67</v>
      </c>
      <c r="T15" s="42">
        <v>4.92</v>
      </c>
      <c r="U15" s="42">
        <v>2</v>
      </c>
      <c r="V15" s="42">
        <v>0</v>
      </c>
      <c r="W15" s="42">
        <v>5.5</v>
      </c>
      <c r="X15" s="43">
        <f t="shared" si="4"/>
        <v>12.42</v>
      </c>
      <c r="Y15" s="43">
        <v>4.92</v>
      </c>
      <c r="Z15" s="43">
        <v>2</v>
      </c>
      <c r="AA15" s="43">
        <v>0</v>
      </c>
      <c r="AB15" s="43">
        <v>5.5</v>
      </c>
      <c r="AC15" s="43">
        <f t="shared" si="5"/>
        <v>12.42</v>
      </c>
      <c r="AD15" s="43">
        <f t="shared" si="6"/>
        <v>794856</v>
      </c>
      <c r="AE15" s="43">
        <f t="shared" si="7"/>
        <v>53654.400000000001</v>
      </c>
      <c r="AF15" s="43">
        <f t="shared" si="8"/>
        <v>74520</v>
      </c>
      <c r="AG15" s="43">
        <f t="shared" si="9"/>
        <v>29808</v>
      </c>
      <c r="AH15" s="43">
        <f t="shared" si="10"/>
        <v>116748</v>
      </c>
      <c r="AI15" s="43">
        <f t="shared" si="11"/>
        <v>9936</v>
      </c>
      <c r="AJ15" s="43">
        <f t="shared" si="12"/>
        <v>0</v>
      </c>
      <c r="AK15" s="43">
        <f t="shared" si="13"/>
        <v>11923.2</v>
      </c>
      <c r="AL15" s="43">
        <f t="shared" si="14"/>
        <v>384107.87520000001</v>
      </c>
      <c r="AM15" s="43">
        <v>155431.5</v>
      </c>
      <c r="AN15" s="43">
        <f t="shared" si="15"/>
        <v>1630984.9751999998</v>
      </c>
      <c r="AO15" s="49">
        <f t="shared" si="16"/>
        <v>1304788</v>
      </c>
    </row>
    <row r="16" spans="1:41" ht="17.100000000000001" customHeight="1">
      <c r="A16" s="40" t="s">
        <v>2</v>
      </c>
      <c r="B16" s="41" t="s">
        <v>252</v>
      </c>
      <c r="C16" s="41" t="s">
        <v>241</v>
      </c>
      <c r="D16" s="42">
        <v>2</v>
      </c>
      <c r="E16" s="47">
        <v>9.33</v>
      </c>
      <c r="F16" s="47">
        <v>3</v>
      </c>
      <c r="G16" s="47">
        <v>21.67</v>
      </c>
      <c r="H16" s="47">
        <v>2.67</v>
      </c>
      <c r="I16" s="43">
        <f t="shared" si="0"/>
        <v>36.67</v>
      </c>
      <c r="J16" s="42">
        <v>5</v>
      </c>
      <c r="K16" s="42">
        <v>1</v>
      </c>
      <c r="L16" s="42">
        <v>0</v>
      </c>
      <c r="M16" s="42">
        <v>0</v>
      </c>
      <c r="N16" s="43">
        <f t="shared" si="1"/>
        <v>6</v>
      </c>
      <c r="O16" s="43">
        <f t="shared" si="17"/>
        <v>14.33</v>
      </c>
      <c r="P16" s="43">
        <f t="shared" si="2"/>
        <v>4</v>
      </c>
      <c r="Q16" s="43">
        <f t="shared" si="2"/>
        <v>21.67</v>
      </c>
      <c r="R16" s="43">
        <f t="shared" si="2"/>
        <v>2.67</v>
      </c>
      <c r="S16" s="43">
        <f t="shared" si="3"/>
        <v>42.67</v>
      </c>
      <c r="T16" s="42">
        <v>13.33</v>
      </c>
      <c r="U16" s="42">
        <v>4</v>
      </c>
      <c r="V16" s="42">
        <v>22.5</v>
      </c>
      <c r="W16" s="42">
        <v>2</v>
      </c>
      <c r="X16" s="43">
        <f t="shared" si="4"/>
        <v>41.83</v>
      </c>
      <c r="Y16" s="43">
        <v>13.33</v>
      </c>
      <c r="Z16" s="43">
        <v>4</v>
      </c>
      <c r="AA16" s="43">
        <v>22.5</v>
      </c>
      <c r="AB16" s="43">
        <v>2</v>
      </c>
      <c r="AC16" s="43">
        <f t="shared" si="5"/>
        <v>41.83</v>
      </c>
      <c r="AD16" s="43">
        <f t="shared" si="6"/>
        <v>2768724</v>
      </c>
      <c r="AE16" s="43">
        <f t="shared" si="7"/>
        <v>180705.6</v>
      </c>
      <c r="AF16" s="43">
        <f t="shared" si="8"/>
        <v>250980</v>
      </c>
      <c r="AG16" s="43">
        <f t="shared" si="9"/>
        <v>100392</v>
      </c>
      <c r="AH16" s="43">
        <f t="shared" si="10"/>
        <v>393202</v>
      </c>
      <c r="AI16" s="43">
        <f t="shared" si="11"/>
        <v>33464</v>
      </c>
      <c r="AJ16" s="43">
        <f t="shared" si="12"/>
        <v>20000</v>
      </c>
      <c r="AK16" s="43">
        <f t="shared" si="13"/>
        <v>40156.799999999996</v>
      </c>
      <c r="AL16" s="43">
        <f t="shared" si="14"/>
        <v>1293658.0048</v>
      </c>
      <c r="AM16" s="43"/>
      <c r="AN16" s="43">
        <f t="shared" si="15"/>
        <v>5081282.4047999997</v>
      </c>
      <c r="AO16" s="49">
        <f t="shared" si="16"/>
        <v>4065026</v>
      </c>
    </row>
    <row r="17" spans="1:41" ht="17.100000000000001" customHeight="1">
      <c r="A17" s="40" t="s">
        <v>2</v>
      </c>
      <c r="B17" s="41" t="s">
        <v>253</v>
      </c>
      <c r="C17" s="41" t="s">
        <v>241</v>
      </c>
      <c r="D17" s="42">
        <v>1</v>
      </c>
      <c r="E17" s="47">
        <v>1.67</v>
      </c>
      <c r="F17" s="47">
        <v>1.33</v>
      </c>
      <c r="G17" s="47">
        <v>10.33</v>
      </c>
      <c r="H17" s="47">
        <v>1.33</v>
      </c>
      <c r="I17" s="43">
        <f t="shared" si="0"/>
        <v>14.66</v>
      </c>
      <c r="J17" s="42">
        <v>0.67</v>
      </c>
      <c r="K17" s="42">
        <v>2</v>
      </c>
      <c r="L17" s="42">
        <v>0</v>
      </c>
      <c r="M17" s="42">
        <v>0.33</v>
      </c>
      <c r="N17" s="43">
        <f t="shared" si="1"/>
        <v>3</v>
      </c>
      <c r="O17" s="43">
        <f t="shared" si="17"/>
        <v>2.34</v>
      </c>
      <c r="P17" s="43">
        <f t="shared" si="2"/>
        <v>3.33</v>
      </c>
      <c r="Q17" s="43">
        <f t="shared" si="2"/>
        <v>10.33</v>
      </c>
      <c r="R17" s="43">
        <f t="shared" si="2"/>
        <v>1.6600000000000001</v>
      </c>
      <c r="S17" s="43">
        <f t="shared" si="3"/>
        <v>17.66</v>
      </c>
      <c r="T17" s="42">
        <v>3.58</v>
      </c>
      <c r="U17" s="42">
        <v>2.33</v>
      </c>
      <c r="V17" s="42">
        <v>10.67</v>
      </c>
      <c r="W17" s="42">
        <v>1</v>
      </c>
      <c r="X17" s="43">
        <f t="shared" si="4"/>
        <v>17.579999999999998</v>
      </c>
      <c r="Y17" s="43">
        <v>3.58</v>
      </c>
      <c r="Z17" s="43">
        <v>2.33</v>
      </c>
      <c r="AA17" s="43">
        <v>10.67</v>
      </c>
      <c r="AB17" s="43">
        <v>1</v>
      </c>
      <c r="AC17" s="43">
        <f t="shared" si="5"/>
        <v>17.579999999999998</v>
      </c>
      <c r="AD17" s="43">
        <f t="shared" si="6"/>
        <v>1133957.7600000002</v>
      </c>
      <c r="AE17" s="43">
        <f t="shared" si="7"/>
        <v>75945.599999999991</v>
      </c>
      <c r="AF17" s="43">
        <f t="shared" si="8"/>
        <v>105479.99999999999</v>
      </c>
      <c r="AG17" s="43">
        <f t="shared" si="9"/>
        <v>42191.999999999993</v>
      </c>
      <c r="AH17" s="43">
        <f t="shared" si="10"/>
        <v>165251.99999999997</v>
      </c>
      <c r="AI17" s="43">
        <f t="shared" si="11"/>
        <v>14063.999999999998</v>
      </c>
      <c r="AJ17" s="43">
        <f t="shared" si="12"/>
        <v>10000</v>
      </c>
      <c r="AK17" s="43">
        <f t="shared" si="13"/>
        <v>16876.8</v>
      </c>
      <c r="AL17" s="43">
        <f t="shared" si="14"/>
        <v>543688.92479999992</v>
      </c>
      <c r="AM17" s="43"/>
      <c r="AN17" s="43">
        <f t="shared" si="15"/>
        <v>2107457.0848000003</v>
      </c>
      <c r="AO17" s="49">
        <f t="shared" si="16"/>
        <v>1685966</v>
      </c>
    </row>
    <row r="18" spans="1:41" s="46" customFormat="1" ht="17.100000000000001" customHeight="1">
      <c r="A18" s="44"/>
      <c r="B18" s="44" t="s">
        <v>254</v>
      </c>
      <c r="C18" s="44"/>
      <c r="D18" s="45">
        <f>SUM(D4:D17)</f>
        <v>12</v>
      </c>
      <c r="E18" s="45">
        <f t="shared" ref="E18:AO18" si="18">SUM(E4:E17)</f>
        <v>34.660000000000004</v>
      </c>
      <c r="F18" s="45">
        <f t="shared" si="18"/>
        <v>53.989999999999995</v>
      </c>
      <c r="G18" s="45">
        <f t="shared" si="18"/>
        <v>146.33000000000001</v>
      </c>
      <c r="H18" s="45">
        <f t="shared" si="18"/>
        <v>69.34</v>
      </c>
      <c r="I18" s="45">
        <f t="shared" si="18"/>
        <v>304.32</v>
      </c>
      <c r="J18" s="45">
        <f t="shared" si="18"/>
        <v>27.410000000000004</v>
      </c>
      <c r="K18" s="45">
        <f t="shared" si="18"/>
        <v>7.33</v>
      </c>
      <c r="L18" s="45">
        <f t="shared" si="18"/>
        <v>0</v>
      </c>
      <c r="M18" s="45">
        <f t="shared" si="18"/>
        <v>1</v>
      </c>
      <c r="N18" s="45">
        <f t="shared" si="18"/>
        <v>35.74</v>
      </c>
      <c r="O18" s="45">
        <f t="shared" si="18"/>
        <v>62.069999999999993</v>
      </c>
      <c r="P18" s="45">
        <f t="shared" si="18"/>
        <v>61.319999999999993</v>
      </c>
      <c r="Q18" s="45">
        <f t="shared" si="18"/>
        <v>146.33000000000001</v>
      </c>
      <c r="R18" s="45">
        <f t="shared" si="18"/>
        <v>70.339999999999989</v>
      </c>
      <c r="S18" s="45">
        <f t="shared" si="18"/>
        <v>340.06000000000006</v>
      </c>
      <c r="T18" s="45">
        <f t="shared" si="18"/>
        <v>62.819999999999993</v>
      </c>
      <c r="U18" s="45">
        <f t="shared" si="18"/>
        <v>63.33</v>
      </c>
      <c r="V18" s="45">
        <f t="shared" si="18"/>
        <v>144.01</v>
      </c>
      <c r="W18" s="45">
        <f t="shared" si="18"/>
        <v>61.42</v>
      </c>
      <c r="X18" s="45">
        <f t="shared" si="18"/>
        <v>331.58</v>
      </c>
      <c r="Y18" s="45">
        <f t="shared" si="18"/>
        <v>62.819999999999993</v>
      </c>
      <c r="Z18" s="45">
        <f t="shared" si="18"/>
        <v>63.33</v>
      </c>
      <c r="AA18" s="45">
        <f t="shared" si="18"/>
        <v>144.01</v>
      </c>
      <c r="AB18" s="45">
        <f t="shared" si="18"/>
        <v>61.42</v>
      </c>
      <c r="AC18" s="45">
        <f t="shared" si="18"/>
        <v>331.58</v>
      </c>
      <c r="AD18" s="45">
        <f t="shared" si="18"/>
        <v>21014669.280000001</v>
      </c>
      <c r="AE18" s="45">
        <f t="shared" si="18"/>
        <v>1432425.6</v>
      </c>
      <c r="AF18" s="45">
        <f t="shared" si="18"/>
        <v>1989480</v>
      </c>
      <c r="AG18" s="45">
        <f t="shared" si="18"/>
        <v>795792</v>
      </c>
      <c r="AH18" s="45">
        <f t="shared" si="18"/>
        <v>3116852</v>
      </c>
      <c r="AI18" s="45">
        <f t="shared" si="18"/>
        <v>265264</v>
      </c>
      <c r="AJ18" s="45">
        <f t="shared" si="18"/>
        <v>120000</v>
      </c>
      <c r="AK18" s="45">
        <f t="shared" si="18"/>
        <v>318316.79999999999</v>
      </c>
      <c r="AL18" s="45">
        <f t="shared" si="18"/>
        <v>10254628.764800001</v>
      </c>
      <c r="AM18" s="45">
        <f t="shared" si="18"/>
        <v>488890.5</v>
      </c>
      <c r="AN18" s="45">
        <f t="shared" si="18"/>
        <v>39796318.944800004</v>
      </c>
      <c r="AO18" s="45">
        <f t="shared" si="18"/>
        <v>31837055</v>
      </c>
    </row>
  </sheetData>
  <mergeCells count="12">
    <mergeCell ref="A1:AO1"/>
    <mergeCell ref="AD2:AN2"/>
    <mergeCell ref="AO2:AO3"/>
    <mergeCell ref="A2:A3"/>
    <mergeCell ref="B2:B3"/>
    <mergeCell ref="C2:C3"/>
    <mergeCell ref="D2:D3"/>
    <mergeCell ref="E2:I2"/>
    <mergeCell ref="J2:N2"/>
    <mergeCell ref="O2:S2"/>
    <mergeCell ref="T2:X2"/>
    <mergeCell ref="Y2:AC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orientation="landscape" verticalDpi="0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D2" sqref="D2:K2"/>
    </sheetView>
  </sheetViews>
  <sheetFormatPr defaultRowHeight="13.5" outlineLevelRow="2"/>
  <cols>
    <col min="1" max="1" width="9.625" style="105" customWidth="1"/>
    <col min="2" max="2" width="26.875" style="105" customWidth="1"/>
    <col min="3" max="3" width="13.5" style="105" customWidth="1"/>
    <col min="4" max="4" width="14" style="105" customWidth="1"/>
    <col min="5" max="7" width="15.625" style="105" customWidth="1"/>
    <col min="8" max="8" width="11.75" style="104" customWidth="1"/>
    <col min="9" max="9" width="12.875" style="103" customWidth="1"/>
    <col min="10" max="16384" width="9" style="105"/>
  </cols>
  <sheetData>
    <row r="1" spans="1:9" ht="35.25" customHeight="1">
      <c r="A1" s="208" t="s">
        <v>451</v>
      </c>
      <c r="B1" s="208"/>
      <c r="C1" s="208"/>
      <c r="D1" s="208"/>
      <c r="E1" s="208"/>
      <c r="F1" s="209"/>
      <c r="G1" s="209"/>
      <c r="H1" s="203"/>
      <c r="I1" s="203"/>
    </row>
    <row r="2" spans="1:9" s="162" customFormat="1" ht="18" customHeight="1">
      <c r="A2" s="159" t="s">
        <v>322</v>
      </c>
      <c r="B2" s="160" t="s">
        <v>259</v>
      </c>
      <c r="C2" s="160" t="s">
        <v>449</v>
      </c>
      <c r="D2" s="160" t="s">
        <v>450</v>
      </c>
      <c r="E2" s="160" t="s">
        <v>452</v>
      </c>
      <c r="F2" s="161" t="s">
        <v>453</v>
      </c>
      <c r="G2" s="161" t="s">
        <v>454</v>
      </c>
      <c r="H2" s="159" t="s">
        <v>448</v>
      </c>
      <c r="I2" s="159" t="s">
        <v>447</v>
      </c>
    </row>
    <row r="3" spans="1:9" ht="18" customHeight="1" outlineLevel="2">
      <c r="A3" s="106" t="s">
        <v>323</v>
      </c>
      <c r="B3" s="107" t="s">
        <v>201</v>
      </c>
      <c r="C3" s="108">
        <v>81598.5</v>
      </c>
      <c r="D3" s="108">
        <v>108584</v>
      </c>
      <c r="E3" s="108">
        <f>C3+D3</f>
        <v>190182.5</v>
      </c>
      <c r="F3" s="109">
        <v>199602.5</v>
      </c>
      <c r="G3" s="109">
        <f t="shared" ref="G3:G10" si="0">E3-F3</f>
        <v>-9420</v>
      </c>
      <c r="H3" s="106"/>
      <c r="I3" s="102">
        <f t="shared" ref="I3:I10" si="1">G3+H3</f>
        <v>-9420</v>
      </c>
    </row>
    <row r="4" spans="1:9" ht="18" customHeight="1" outlineLevel="2">
      <c r="A4" s="106" t="s">
        <v>323</v>
      </c>
      <c r="B4" s="107" t="s">
        <v>203</v>
      </c>
      <c r="C4" s="108">
        <v>8606.5</v>
      </c>
      <c r="D4" s="108">
        <v>28369</v>
      </c>
      <c r="E4" s="108">
        <f t="shared" ref="E4:E10" si="2">C4+D4</f>
        <v>36975.5</v>
      </c>
      <c r="F4" s="109">
        <v>10902</v>
      </c>
      <c r="G4" s="109">
        <f t="shared" si="0"/>
        <v>26073.5</v>
      </c>
      <c r="H4" s="106"/>
      <c r="I4" s="102">
        <f t="shared" si="1"/>
        <v>26073.5</v>
      </c>
    </row>
    <row r="5" spans="1:9" ht="18" customHeight="1" outlineLevel="2">
      <c r="A5" s="106" t="s">
        <v>323</v>
      </c>
      <c r="B5" s="107" t="s">
        <v>199</v>
      </c>
      <c r="C5" s="108">
        <v>12625.5</v>
      </c>
      <c r="D5" s="108">
        <v>53180.5</v>
      </c>
      <c r="E5" s="108">
        <f t="shared" si="2"/>
        <v>65806</v>
      </c>
      <c r="F5" s="109">
        <v>24489.5</v>
      </c>
      <c r="G5" s="109">
        <f t="shared" si="0"/>
        <v>41316.5</v>
      </c>
      <c r="H5" s="106"/>
      <c r="I5" s="102">
        <f t="shared" si="1"/>
        <v>41316.5</v>
      </c>
    </row>
    <row r="6" spans="1:9" ht="18" customHeight="1" outlineLevel="2">
      <c r="A6" s="106" t="s">
        <v>323</v>
      </c>
      <c r="B6" s="107" t="s">
        <v>197</v>
      </c>
      <c r="C6" s="108">
        <v>15045</v>
      </c>
      <c r="D6" s="108">
        <v>24990</v>
      </c>
      <c r="E6" s="108">
        <f t="shared" si="2"/>
        <v>40035</v>
      </c>
      <c r="F6" s="109">
        <v>50872.5</v>
      </c>
      <c r="G6" s="109">
        <f t="shared" si="0"/>
        <v>-10837.5</v>
      </c>
      <c r="H6" s="106"/>
      <c r="I6" s="102">
        <f t="shared" si="1"/>
        <v>-10837.5</v>
      </c>
    </row>
    <row r="7" spans="1:9" ht="18" customHeight="1" outlineLevel="2">
      <c r="A7" s="106" t="s">
        <v>323</v>
      </c>
      <c r="B7" s="107" t="s">
        <v>324</v>
      </c>
      <c r="C7" s="108"/>
      <c r="D7" s="108"/>
      <c r="E7" s="108"/>
      <c r="F7" s="109">
        <v>383</v>
      </c>
      <c r="G7" s="109">
        <f>E7-F7</f>
        <v>-383</v>
      </c>
      <c r="H7" s="106"/>
      <c r="I7" s="102">
        <f t="shared" si="1"/>
        <v>-383</v>
      </c>
    </row>
    <row r="8" spans="1:9" ht="18" customHeight="1" outlineLevel="2">
      <c r="A8" s="106" t="s">
        <v>323</v>
      </c>
      <c r="B8" s="107" t="s">
        <v>196</v>
      </c>
      <c r="C8" s="108">
        <v>19385</v>
      </c>
      <c r="D8" s="108">
        <v>23720</v>
      </c>
      <c r="E8" s="108">
        <f t="shared" si="2"/>
        <v>43105</v>
      </c>
      <c r="F8" s="109">
        <v>44532</v>
      </c>
      <c r="G8" s="109">
        <f t="shared" si="0"/>
        <v>-1427</v>
      </c>
      <c r="H8" s="106"/>
      <c r="I8" s="102">
        <f t="shared" si="1"/>
        <v>-1427</v>
      </c>
    </row>
    <row r="9" spans="1:9" ht="18" customHeight="1" outlineLevel="2">
      <c r="A9" s="106" t="s">
        <v>323</v>
      </c>
      <c r="B9" s="107" t="s">
        <v>198</v>
      </c>
      <c r="C9" s="108">
        <v>76718</v>
      </c>
      <c r="D9" s="108">
        <v>32973.5</v>
      </c>
      <c r="E9" s="108">
        <f t="shared" si="2"/>
        <v>109691.5</v>
      </c>
      <c r="F9" s="109">
        <v>155431.5</v>
      </c>
      <c r="G9" s="109">
        <f t="shared" si="0"/>
        <v>-45740</v>
      </c>
      <c r="H9" s="106"/>
      <c r="I9" s="102">
        <f t="shared" si="1"/>
        <v>-45740</v>
      </c>
    </row>
    <row r="10" spans="1:9" ht="18" customHeight="1" outlineLevel="2">
      <c r="A10" s="106" t="s">
        <v>323</v>
      </c>
      <c r="B10" s="107" t="s">
        <v>202</v>
      </c>
      <c r="C10" s="108">
        <v>8160</v>
      </c>
      <c r="D10" s="108">
        <v>2677.5</v>
      </c>
      <c r="E10" s="108">
        <f t="shared" si="2"/>
        <v>10837.5</v>
      </c>
      <c r="F10" s="109">
        <v>2677.5</v>
      </c>
      <c r="G10" s="109">
        <f t="shared" si="0"/>
        <v>8160</v>
      </c>
      <c r="H10" s="106"/>
      <c r="I10" s="102">
        <f t="shared" si="1"/>
        <v>8160</v>
      </c>
    </row>
    <row r="11" spans="1:9" ht="18" customHeight="1" outlineLevel="1">
      <c r="A11" s="110" t="s">
        <v>215</v>
      </c>
      <c r="B11" s="107"/>
      <c r="C11" s="108">
        <f t="shared" ref="C11:I11" si="3">SUBTOTAL(9,C3:C10)</f>
        <v>222138.5</v>
      </c>
      <c r="D11" s="108">
        <f t="shared" si="3"/>
        <v>274494.5</v>
      </c>
      <c r="E11" s="108">
        <f t="shared" si="3"/>
        <v>496633</v>
      </c>
      <c r="F11" s="109">
        <f t="shared" si="3"/>
        <v>488890.5</v>
      </c>
      <c r="G11" s="109">
        <f t="shared" si="3"/>
        <v>7742.5</v>
      </c>
      <c r="H11" s="106">
        <f t="shared" si="3"/>
        <v>0</v>
      </c>
      <c r="I11" s="102">
        <f t="shared" si="3"/>
        <v>7742.5</v>
      </c>
    </row>
  </sheetData>
  <mergeCells count="1"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topLeftCell="B1" workbookViewId="0">
      <selection activeCell="D2" sqref="D2:K2"/>
    </sheetView>
  </sheetViews>
  <sheetFormatPr defaultColWidth="9" defaultRowHeight="13.5"/>
  <cols>
    <col min="1" max="1" width="5.25" style="52" hidden="1" customWidth="1"/>
    <col min="2" max="2" width="10.875" style="52" customWidth="1"/>
    <col min="3" max="3" width="15.625" style="52" customWidth="1"/>
    <col min="4" max="4" width="26.875" style="52" customWidth="1"/>
    <col min="5" max="5" width="8.375" style="52" customWidth="1"/>
    <col min="6" max="6" width="8.625" style="52" customWidth="1"/>
    <col min="7" max="7" width="16.375" style="52" customWidth="1"/>
    <col min="8" max="8" width="17.5" style="52" customWidth="1"/>
    <col min="9" max="9" width="11.375" style="52" customWidth="1"/>
    <col min="10" max="10" width="15.375" style="52" bestFit="1" customWidth="1"/>
    <col min="11" max="16384" width="9" style="52"/>
  </cols>
  <sheetData>
    <row r="1" spans="1:9" ht="18.75">
      <c r="A1" s="210" t="s">
        <v>257</v>
      </c>
      <c r="B1" s="210"/>
      <c r="C1" s="210"/>
      <c r="D1" s="210"/>
      <c r="E1" s="210"/>
      <c r="F1" s="210"/>
      <c r="G1" s="210"/>
      <c r="H1" s="210"/>
      <c r="I1" s="210"/>
    </row>
    <row r="2" spans="1:9" ht="24">
      <c r="A2" s="53" t="s">
        <v>191</v>
      </c>
      <c r="B2" s="54" t="s">
        <v>220</v>
      </c>
      <c r="C2" s="54" t="s">
        <v>258</v>
      </c>
      <c r="D2" s="54" t="s">
        <v>259</v>
      </c>
      <c r="E2" s="54" t="s">
        <v>194</v>
      </c>
      <c r="F2" s="54" t="s">
        <v>192</v>
      </c>
      <c r="G2" s="55" t="s">
        <v>260</v>
      </c>
      <c r="H2" s="55" t="s">
        <v>261</v>
      </c>
      <c r="I2" s="54" t="s">
        <v>7</v>
      </c>
    </row>
    <row r="3" spans="1:9">
      <c r="A3" s="56" t="s">
        <v>262</v>
      </c>
      <c r="B3" s="57" t="s">
        <v>2</v>
      </c>
      <c r="C3" s="57" t="s">
        <v>194</v>
      </c>
      <c r="D3" s="57" t="s">
        <v>264</v>
      </c>
      <c r="E3" s="57">
        <v>3298</v>
      </c>
      <c r="F3" s="57"/>
      <c r="G3" s="57">
        <f t="shared" ref="G3:G10" si="0">E3*175*2</f>
        <v>1154300</v>
      </c>
      <c r="H3" s="57">
        <f t="shared" ref="H3:H10" si="1">F3*215*2</f>
        <v>0</v>
      </c>
      <c r="I3" s="57">
        <f t="shared" ref="I3:I10" si="2">G3+H3</f>
        <v>1154300</v>
      </c>
    </row>
    <row r="4" spans="1:9">
      <c r="A4" s="56" t="s">
        <v>262</v>
      </c>
      <c r="B4" s="57" t="s">
        <v>2</v>
      </c>
      <c r="C4" s="57" t="s">
        <v>194</v>
      </c>
      <c r="D4" s="57" t="s">
        <v>181</v>
      </c>
      <c r="E4" s="57">
        <v>819</v>
      </c>
      <c r="F4" s="57"/>
      <c r="G4" s="57">
        <f t="shared" si="0"/>
        <v>286650</v>
      </c>
      <c r="H4" s="57">
        <f t="shared" si="1"/>
        <v>0</v>
      </c>
      <c r="I4" s="57">
        <f t="shared" si="2"/>
        <v>286650</v>
      </c>
    </row>
    <row r="5" spans="1:9">
      <c r="A5" s="56" t="s">
        <v>262</v>
      </c>
      <c r="B5" s="57" t="s">
        <v>2</v>
      </c>
      <c r="C5" s="57" t="s">
        <v>194</v>
      </c>
      <c r="D5" s="57" t="s">
        <v>265</v>
      </c>
      <c r="E5" s="57">
        <v>924</v>
      </c>
      <c r="F5" s="57"/>
      <c r="G5" s="57">
        <f t="shared" si="0"/>
        <v>323400</v>
      </c>
      <c r="H5" s="57">
        <f t="shared" si="1"/>
        <v>0</v>
      </c>
      <c r="I5" s="57">
        <f t="shared" si="2"/>
        <v>323400</v>
      </c>
    </row>
    <row r="6" spans="1:9">
      <c r="A6" s="56" t="s">
        <v>262</v>
      </c>
      <c r="B6" s="57" t="s">
        <v>2</v>
      </c>
      <c r="C6" s="57" t="s">
        <v>194</v>
      </c>
      <c r="D6" s="57" t="s">
        <v>266</v>
      </c>
      <c r="E6" s="57">
        <v>1002</v>
      </c>
      <c r="F6" s="57"/>
      <c r="G6" s="57">
        <f t="shared" si="0"/>
        <v>350700</v>
      </c>
      <c r="H6" s="57">
        <f t="shared" si="1"/>
        <v>0</v>
      </c>
      <c r="I6" s="57">
        <f t="shared" si="2"/>
        <v>350700</v>
      </c>
    </row>
    <row r="7" spans="1:9">
      <c r="A7" s="56" t="s">
        <v>262</v>
      </c>
      <c r="B7" s="57" t="s">
        <v>2</v>
      </c>
      <c r="C7" s="57" t="s">
        <v>263</v>
      </c>
      <c r="D7" s="57" t="s">
        <v>267</v>
      </c>
      <c r="E7" s="57">
        <v>1003</v>
      </c>
      <c r="F7" s="57">
        <v>779</v>
      </c>
      <c r="G7" s="57">
        <f t="shared" si="0"/>
        <v>351050</v>
      </c>
      <c r="H7" s="57">
        <f>F7*215*2</f>
        <v>334970</v>
      </c>
      <c r="I7" s="57">
        <f t="shared" si="2"/>
        <v>686020</v>
      </c>
    </row>
    <row r="8" spans="1:9">
      <c r="A8" s="56" t="s">
        <v>262</v>
      </c>
      <c r="B8" s="57" t="s">
        <v>2</v>
      </c>
      <c r="C8" s="57" t="s">
        <v>192</v>
      </c>
      <c r="D8" s="57" t="s">
        <v>268</v>
      </c>
      <c r="E8" s="57"/>
      <c r="F8" s="57">
        <v>908</v>
      </c>
      <c r="G8" s="57">
        <f t="shared" si="0"/>
        <v>0</v>
      </c>
      <c r="H8" s="57">
        <f t="shared" si="1"/>
        <v>390440</v>
      </c>
      <c r="I8" s="57">
        <f t="shared" si="2"/>
        <v>390440</v>
      </c>
    </row>
    <row r="9" spans="1:9">
      <c r="A9" s="56" t="s">
        <v>262</v>
      </c>
      <c r="B9" s="57" t="s">
        <v>2</v>
      </c>
      <c r="C9" s="57" t="s">
        <v>192</v>
      </c>
      <c r="D9" s="57" t="s">
        <v>269</v>
      </c>
      <c r="E9" s="57"/>
      <c r="F9" s="57">
        <v>1158</v>
      </c>
      <c r="G9" s="57">
        <f t="shared" si="0"/>
        <v>0</v>
      </c>
      <c r="H9" s="57">
        <f t="shared" si="1"/>
        <v>497940</v>
      </c>
      <c r="I9" s="57">
        <f t="shared" si="2"/>
        <v>497940</v>
      </c>
    </row>
    <row r="10" spans="1:9">
      <c r="A10" s="56" t="s">
        <v>262</v>
      </c>
      <c r="B10" s="57" t="s">
        <v>2</v>
      </c>
      <c r="C10" s="57" t="s">
        <v>192</v>
      </c>
      <c r="D10" s="57" t="s">
        <v>270</v>
      </c>
      <c r="E10" s="57"/>
      <c r="F10" s="57">
        <v>1289</v>
      </c>
      <c r="G10" s="57">
        <f t="shared" si="0"/>
        <v>0</v>
      </c>
      <c r="H10" s="57">
        <f t="shared" si="1"/>
        <v>554270</v>
      </c>
      <c r="I10" s="57">
        <f t="shared" si="2"/>
        <v>554270</v>
      </c>
    </row>
    <row r="11" spans="1:9">
      <c r="A11" s="56"/>
      <c r="B11" s="58" t="s">
        <v>215</v>
      </c>
      <c r="C11" s="58"/>
      <c r="D11" s="58"/>
      <c r="E11" s="58">
        <f>SUBTOTAL(9,E3:E10)</f>
        <v>7046</v>
      </c>
      <c r="F11" s="58">
        <f>SUBTOTAL(9,F3:F10)</f>
        <v>4134</v>
      </c>
      <c r="G11" s="58">
        <f>SUBTOTAL(9,G3:G10)</f>
        <v>2466100</v>
      </c>
      <c r="H11" s="58">
        <f>SUBTOTAL(9,H3:H10)</f>
        <v>1777620</v>
      </c>
      <c r="I11" s="58">
        <f>SUBTOTAL(9,I3:I10)</f>
        <v>4243720</v>
      </c>
    </row>
  </sheetData>
  <mergeCells count="1">
    <mergeCell ref="A1:I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23</vt:i4>
      </vt:variant>
    </vt:vector>
  </HeadingPairs>
  <TitlesOfParts>
    <vt:vector size="37" baseType="lpstr">
      <vt:lpstr>颛桥镇</vt:lpstr>
      <vt:lpstr>颛桥基本支出</vt:lpstr>
      <vt:lpstr>2023年绩效清算</vt:lpstr>
      <vt:lpstr>残疾就业保障</vt:lpstr>
      <vt:lpstr>抚恤金</vt:lpstr>
      <vt:lpstr>社区教育</vt:lpstr>
      <vt:lpstr>补充公用经费</vt:lpstr>
      <vt:lpstr>清算补充公用经费</vt:lpstr>
      <vt:lpstr>公办义务教育减免书薄费</vt:lpstr>
      <vt:lpstr>公办义务教育资助</vt:lpstr>
      <vt:lpstr>公办义务教育营养午餐</vt:lpstr>
      <vt:lpstr>公办学前资助</vt:lpstr>
      <vt:lpstr>颛桥维修</vt:lpstr>
      <vt:lpstr>尾款清算</vt:lpstr>
      <vt:lpstr>'2023年绩效清算'!Print_Area</vt:lpstr>
      <vt:lpstr>补充公用经费!Print_Area</vt:lpstr>
      <vt:lpstr>残疾就业保障!Print_Area</vt:lpstr>
      <vt:lpstr>公办学前资助!Print_Area</vt:lpstr>
      <vt:lpstr>公办义务教育减免书薄费!Print_Area</vt:lpstr>
      <vt:lpstr>公办义务教育营养午餐!Print_Area</vt:lpstr>
      <vt:lpstr>公办义务教育资助!Print_Area</vt:lpstr>
      <vt:lpstr>清算补充公用经费!Print_Area</vt:lpstr>
      <vt:lpstr>社区教育!Print_Area</vt:lpstr>
      <vt:lpstr>尾款清算!Print_Area</vt:lpstr>
      <vt:lpstr>颛桥基本支出!Print_Area</vt:lpstr>
      <vt:lpstr>颛桥维修!Print_Area</vt:lpstr>
      <vt:lpstr>'2023年绩效清算'!Print_Titles</vt:lpstr>
      <vt:lpstr>补充公用经费!Print_Titles</vt:lpstr>
      <vt:lpstr>残疾就业保障!Print_Titles</vt:lpstr>
      <vt:lpstr>公办学前资助!Print_Titles</vt:lpstr>
      <vt:lpstr>公办义务教育减免书薄费!Print_Titles</vt:lpstr>
      <vt:lpstr>公办义务教育营养午餐!Print_Titles</vt:lpstr>
      <vt:lpstr>公办义务教育资助!Print_Titles</vt:lpstr>
      <vt:lpstr>清算补充公用经费!Print_Titles</vt:lpstr>
      <vt:lpstr>尾款清算!Print_Titles</vt:lpstr>
      <vt:lpstr>颛桥基本支出!Print_Titles</vt:lpstr>
      <vt:lpstr>颛桥维修!Print_Titles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孟爱红</dc:creator>
  <cp:lastModifiedBy>meng</cp:lastModifiedBy>
  <cp:lastPrinted>2024-03-25T07:57:33Z</cp:lastPrinted>
  <dcterms:created xsi:type="dcterms:W3CDTF">2022-11-10T02:18:00Z</dcterms:created>
  <dcterms:modified xsi:type="dcterms:W3CDTF">2024-03-27T01:21:24Z</dcterms:modified>
</cp:coreProperties>
</file>