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莘庄镇" sheetId="54" r:id="rId1"/>
    <sheet name="莘庄基本支出" sheetId="20" state="hidden" r:id="rId2"/>
    <sheet name="2023年绩效清算" sheetId="39" state="hidden" r:id="rId3"/>
    <sheet name="残疾就业保障" sheetId="31" state="hidden" r:id="rId4"/>
    <sheet name="社区教育" sheetId="43" state="hidden" r:id="rId5"/>
    <sheet name="补充公用经费" sheetId="32" state="hidden" r:id="rId6"/>
    <sheet name="清算补充公用经费" sheetId="41" state="hidden" r:id="rId7"/>
    <sheet name="公办义务教育减免书薄费" sheetId="36" state="hidden" r:id="rId8"/>
    <sheet name="公办义务教育资助" sheetId="35" state="hidden" r:id="rId9"/>
    <sheet name="公办义务教育营养午餐" sheetId="37" state="hidden" r:id="rId10"/>
    <sheet name="公办学前资助" sheetId="34" state="hidden" r:id="rId11"/>
    <sheet name="莘庄维修" sheetId="45" state="hidden" r:id="rId12"/>
  </sheets>
  <externalReferences>
    <externalReference r:id="rId13"/>
  </externalReferences>
  <definedNames>
    <definedName name="_xlnm.Print_Area" localSheetId="2">'2023年绩效清算'!$A$1:$Q$9</definedName>
    <definedName name="_xlnm.Print_Area" localSheetId="5">补充公用经费!$A$1:$AO$8</definedName>
    <definedName name="_xlnm.Print_Area" localSheetId="3">残疾就业保障!$A$1:$D$8</definedName>
    <definedName name="_xlnm.Print_Area" localSheetId="10">公办学前资助!$A$1:$N$7</definedName>
    <definedName name="_xlnm.Print_Area" localSheetId="7">公办义务教育减免书薄费!$A$1:$I$4</definedName>
    <definedName name="_xlnm.Print_Area" localSheetId="9">公办义务教育营养午餐!$A$1:$E$5</definedName>
    <definedName name="_xlnm.Print_Area" localSheetId="8">公办义务教育资助!$A$1:$L$7</definedName>
    <definedName name="_xlnm.Print_Area" localSheetId="6">清算补充公用经费!$A$1:$I$4</definedName>
    <definedName name="_xlnm.Print_Area" localSheetId="4">社区教育!$A$1:$C$3</definedName>
    <definedName name="_xlnm.Print_Area" localSheetId="1">莘庄基本支出!$A$1:$K$73</definedName>
    <definedName name="_xlnm.Print_Area" localSheetId="11">莘庄维修!$A$1:$K$35</definedName>
    <definedName name="_xlnm.Print_Titles" localSheetId="2">'2023年绩效清算'!$1:$3</definedName>
    <definedName name="_xlnm.Print_Titles" localSheetId="5">补充公用经费!$1:$3</definedName>
    <definedName name="_xlnm.Print_Titles" localSheetId="3">残疾就业保障!$1:$2</definedName>
    <definedName name="_xlnm.Print_Titles" localSheetId="10">公办学前资助!$1:$4</definedName>
    <definedName name="_xlnm.Print_Titles" localSheetId="7">公办义务教育减免书薄费!$1:$2</definedName>
    <definedName name="_xlnm.Print_Titles" localSheetId="9">公办义务教育营养午餐!$1:$2</definedName>
    <definedName name="_xlnm.Print_Titles" localSheetId="8">公办义务教育资助!$1:$4</definedName>
    <definedName name="_xlnm.Print_Titles" localSheetId="6">清算补充公用经费!$1:$2</definedName>
    <definedName name="_xlnm.Print_Titles" localSheetId="1">莘庄基本支出!$1:$2</definedName>
  </definedNames>
  <calcPr calcId="124519"/>
</workbook>
</file>

<file path=xl/calcChain.xml><?xml version="1.0" encoding="utf-8"?>
<calcChain xmlns="http://schemas.openxmlformats.org/spreadsheetml/2006/main">
  <c r="C16" i="54"/>
  <c r="C15"/>
  <c r="C14"/>
  <c r="C13"/>
  <c r="C12"/>
  <c r="C11"/>
  <c r="C10"/>
  <c r="C9"/>
  <c r="C7"/>
  <c r="C6"/>
  <c r="C5"/>
  <c r="C4"/>
  <c r="C8"/>
  <c r="H4" i="41" l="1"/>
  <c r="F4"/>
  <c r="D4"/>
  <c r="C4"/>
  <c r="K35" i="45" l="1"/>
  <c r="K31"/>
  <c r="K26"/>
  <c r="K11"/>
  <c r="K3"/>
  <c r="C3" i="43" l="1"/>
  <c r="E3" i="41" l="1"/>
  <c r="G3" l="1"/>
  <c r="E4"/>
  <c r="I19" i="20"/>
  <c r="AD4" i="32"/>
  <c r="AD5"/>
  <c r="AD6"/>
  <c r="AD7"/>
  <c r="G4" i="41" l="1"/>
  <c r="I3"/>
  <c r="I4" s="1"/>
  <c r="AD8" i="32"/>
  <c r="L9" i="39"/>
  <c r="K9"/>
  <c r="J9"/>
  <c r="H9"/>
  <c r="G9"/>
  <c r="F9"/>
  <c r="P8"/>
  <c r="O8"/>
  <c r="N8"/>
  <c r="M8"/>
  <c r="I8"/>
  <c r="P7"/>
  <c r="O7"/>
  <c r="N7"/>
  <c r="M7"/>
  <c r="I7"/>
  <c r="P6"/>
  <c r="O6"/>
  <c r="N6"/>
  <c r="M6"/>
  <c r="I6"/>
  <c r="P5"/>
  <c r="O5"/>
  <c r="N5"/>
  <c r="M5"/>
  <c r="I5"/>
  <c r="P4"/>
  <c r="O4"/>
  <c r="N4"/>
  <c r="M4"/>
  <c r="I4"/>
  <c r="P9" l="1"/>
  <c r="Q7"/>
  <c r="Q8"/>
  <c r="Q5"/>
  <c r="I9"/>
  <c r="M9"/>
  <c r="Q6"/>
  <c r="O9"/>
  <c r="N9"/>
  <c r="Q4"/>
  <c r="Q9" l="1"/>
  <c r="H74" i="20"/>
  <c r="G74"/>
  <c r="F74"/>
  <c r="E74"/>
  <c r="J73"/>
  <c r="J72"/>
  <c r="J71"/>
  <c r="J70"/>
  <c r="J69"/>
  <c r="J68"/>
  <c r="J67"/>
  <c r="J66" s="1"/>
  <c r="I66"/>
  <c r="H66"/>
  <c r="G66"/>
  <c r="F66"/>
  <c r="E66"/>
  <c r="J65"/>
  <c r="J64"/>
  <c r="J63"/>
  <c r="J62"/>
  <c r="J61" s="1"/>
  <c r="I61"/>
  <c r="H61"/>
  <c r="G61"/>
  <c r="F61"/>
  <c r="E61"/>
  <c r="J60"/>
  <c r="J59"/>
  <c r="J58" s="1"/>
  <c r="I58"/>
  <c r="H58"/>
  <c r="G58"/>
  <c r="F58"/>
  <c r="E58"/>
  <c r="J57"/>
  <c r="J56" s="1"/>
  <c r="I56"/>
  <c r="H56"/>
  <c r="G56"/>
  <c r="F56"/>
  <c r="E56"/>
  <c r="J55"/>
  <c r="I55"/>
  <c r="H55"/>
  <c r="G55" s="1"/>
  <c r="F55" s="1"/>
  <c r="E55"/>
  <c r="J54"/>
  <c r="I54" s="1"/>
  <c r="H54" s="1"/>
  <c r="G54" s="1"/>
  <c r="F54" s="1"/>
  <c r="E54" s="1"/>
  <c r="J53"/>
  <c r="J52" s="1"/>
  <c r="I52"/>
  <c r="H52"/>
  <c r="G52"/>
  <c r="F52"/>
  <c r="E52"/>
  <c r="J51" s="1"/>
  <c r="I51"/>
  <c r="H51"/>
  <c r="G51"/>
  <c r="F51"/>
  <c r="E51"/>
  <c r="J50"/>
  <c r="I50"/>
  <c r="H50" s="1"/>
  <c r="G50" s="1"/>
  <c r="F50"/>
  <c r="E50"/>
  <c r="J49" s="1"/>
  <c r="I49"/>
  <c r="H49"/>
  <c r="G49"/>
  <c r="F49"/>
  <c r="E49"/>
  <c r="J48"/>
  <c r="I48"/>
  <c r="H48"/>
  <c r="G48" s="1"/>
  <c r="F48"/>
  <c r="E48"/>
  <c r="J47" s="1"/>
  <c r="I47" s="1"/>
  <c r="H47"/>
  <c r="G47" s="1"/>
  <c r="F47" s="1"/>
  <c r="E47"/>
  <c r="J46"/>
  <c r="I46"/>
  <c r="H46"/>
  <c r="G46"/>
  <c r="F46"/>
  <c r="E46"/>
  <c r="J45" s="1"/>
  <c r="I45" s="1"/>
  <c r="H45"/>
  <c r="G45"/>
  <c r="F45" s="1"/>
  <c r="E45" s="1"/>
  <c r="J44" s="1"/>
  <c r="I44"/>
  <c r="H44"/>
  <c r="G44"/>
  <c r="F44"/>
  <c r="E44"/>
  <c r="J43" s="1"/>
  <c r="I43" s="1"/>
  <c r="H43"/>
  <c r="G43"/>
  <c r="F43" s="1"/>
  <c r="E43"/>
  <c r="J42"/>
  <c r="I42"/>
  <c r="H42"/>
  <c r="G42"/>
  <c r="F42"/>
  <c r="E42"/>
  <c r="J41"/>
  <c r="I41" s="1"/>
  <c r="H41"/>
  <c r="G41" s="1"/>
  <c r="F41" s="1"/>
  <c r="E41" s="1"/>
  <c r="J40"/>
  <c r="J39"/>
  <c r="I38"/>
  <c r="H38"/>
  <c r="G38" s="1"/>
  <c r="F38" s="1"/>
  <c r="E38"/>
  <c r="J37"/>
  <c r="J36" s="1"/>
  <c r="I36"/>
  <c r="H36"/>
  <c r="G36"/>
  <c r="F36"/>
  <c r="E36"/>
  <c r="J35"/>
  <c r="J34" s="1"/>
  <c r="I34"/>
  <c r="H34"/>
  <c r="G34"/>
  <c r="F34"/>
  <c r="E34"/>
  <c r="J33"/>
  <c r="J32"/>
  <c r="I32"/>
  <c r="H32"/>
  <c r="G32"/>
  <c r="F32"/>
  <c r="E32"/>
  <c r="J31" s="1"/>
  <c r="I31" s="1"/>
  <c r="H31" s="1"/>
  <c r="G31"/>
  <c r="F31"/>
  <c r="E31" s="1"/>
  <c r="J30"/>
  <c r="J29"/>
  <c r="J28" s="1"/>
  <c r="I28"/>
  <c r="H28"/>
  <c r="G28"/>
  <c r="F28"/>
  <c r="E28"/>
  <c r="J27"/>
  <c r="I27"/>
  <c r="H27"/>
  <c r="G27"/>
  <c r="F27" s="1"/>
  <c r="E27"/>
  <c r="J26" s="1"/>
  <c r="I26"/>
  <c r="H26"/>
  <c r="G26"/>
  <c r="F26"/>
  <c r="E26"/>
  <c r="J25" s="1"/>
  <c r="I25"/>
  <c r="H25"/>
  <c r="G25"/>
  <c r="F25" s="1"/>
  <c r="E25"/>
  <c r="J24" s="1"/>
  <c r="I24"/>
  <c r="H24"/>
  <c r="G24"/>
  <c r="F24"/>
  <c r="E24"/>
  <c r="J23" s="1"/>
  <c r="I23"/>
  <c r="H23"/>
  <c r="G23"/>
  <c r="F23"/>
  <c r="E23"/>
  <c r="J22" s="1"/>
  <c r="I22"/>
  <c r="H22" s="1"/>
  <c r="G22" s="1"/>
  <c r="F22"/>
  <c r="E22"/>
  <c r="J21" s="1"/>
  <c r="I21"/>
  <c r="H21"/>
  <c r="G21"/>
  <c r="F21"/>
  <c r="E21"/>
  <c r="J20" s="1"/>
  <c r="I20"/>
  <c r="H20" s="1"/>
  <c r="G20" s="1"/>
  <c r="F20"/>
  <c r="E20"/>
  <c r="J19"/>
  <c r="J18" s="1"/>
  <c r="I18"/>
  <c r="H18"/>
  <c r="G18"/>
  <c r="F18"/>
  <c r="E18"/>
  <c r="J17"/>
  <c r="J16"/>
  <c r="I15"/>
  <c r="H15"/>
  <c r="G15"/>
  <c r="F15"/>
  <c r="E15"/>
  <c r="J14" s="1"/>
  <c r="I14"/>
  <c r="H14"/>
  <c r="G14"/>
  <c r="F14"/>
  <c r="E14"/>
  <c r="J13" s="1"/>
  <c r="I13"/>
  <c r="H13"/>
  <c r="G13"/>
  <c r="F13"/>
  <c r="E13"/>
  <c r="J12" s="1"/>
  <c r="I12" s="1"/>
  <c r="H12"/>
  <c r="G12"/>
  <c r="F12"/>
  <c r="E12"/>
  <c r="J11" s="1"/>
  <c r="I11"/>
  <c r="H11"/>
  <c r="G11"/>
  <c r="F11"/>
  <c r="E11"/>
  <c r="J10"/>
  <c r="I10" s="1"/>
  <c r="H10"/>
  <c r="G10"/>
  <c r="F10"/>
  <c r="E10"/>
  <c r="J9"/>
  <c r="J8"/>
  <c r="I8" s="1"/>
  <c r="H8" s="1"/>
  <c r="G8"/>
  <c r="F8"/>
  <c r="E8"/>
  <c r="J7"/>
  <c r="J6"/>
  <c r="J5" s="1"/>
  <c r="I5"/>
  <c r="H5"/>
  <c r="G5"/>
  <c r="F5"/>
  <c r="E5"/>
  <c r="F4"/>
  <c r="E4"/>
  <c r="H3"/>
  <c r="G3" s="1"/>
  <c r="F3"/>
  <c r="E3"/>
  <c r="J15" l="1"/>
  <c r="J38"/>
  <c r="L7" i="34" l="1"/>
  <c r="K7"/>
  <c r="J7"/>
  <c r="I7"/>
  <c r="H7"/>
  <c r="G7"/>
  <c r="F7"/>
  <c r="E7"/>
  <c r="D7"/>
  <c r="N6" s="1"/>
  <c r="M6"/>
  <c r="M5"/>
  <c r="N5" s="1"/>
  <c r="N7" s="1"/>
  <c r="D5" i="37"/>
  <c r="E4"/>
  <c r="E3"/>
  <c r="E5" s="1"/>
  <c r="J7" i="35"/>
  <c r="I7"/>
  <c r="H7"/>
  <c r="G7"/>
  <c r="F7"/>
  <c r="E7"/>
  <c r="D7"/>
  <c r="K6"/>
  <c r="K5"/>
  <c r="L5" s="1"/>
  <c r="H4" i="36"/>
  <c r="G4"/>
  <c r="F4"/>
  <c r="E4"/>
  <c r="I3"/>
  <c r="I4" s="1"/>
  <c r="H3"/>
  <c r="G3"/>
  <c r="M7" i="34" l="1"/>
  <c r="L7" i="35"/>
  <c r="K7" s="1"/>
  <c r="L6"/>
  <c r="AM8" i="32"/>
  <c r="AB8"/>
  <c r="AA8"/>
  <c r="Z8"/>
  <c r="Y8"/>
  <c r="W8"/>
  <c r="V8"/>
  <c r="U8"/>
  <c r="T8"/>
  <c r="M8"/>
  <c r="L8"/>
  <c r="K8"/>
  <c r="J8"/>
  <c r="H8"/>
  <c r="G8"/>
  <c r="F8"/>
  <c r="E8"/>
  <c r="D8"/>
  <c r="AJ7"/>
  <c r="AG7"/>
  <c r="AC7"/>
  <c r="AL7" s="1"/>
  <c r="X7"/>
  <c r="R7"/>
  <c r="Q7"/>
  <c r="P7"/>
  <c r="O7"/>
  <c r="N7"/>
  <c r="I7"/>
  <c r="AJ6"/>
  <c r="AC6"/>
  <c r="AL6" s="1"/>
  <c r="X6"/>
  <c r="R6"/>
  <c r="Q6"/>
  <c r="P6"/>
  <c r="O6"/>
  <c r="N6"/>
  <c r="I6"/>
  <c r="AJ5"/>
  <c r="AC5"/>
  <c r="AL5" s="1"/>
  <c r="X5"/>
  <c r="R5"/>
  <c r="Q5"/>
  <c r="P5"/>
  <c r="O5"/>
  <c r="N5"/>
  <c r="I5"/>
  <c r="AJ4"/>
  <c r="AE4"/>
  <c r="AC4"/>
  <c r="AL4" s="1"/>
  <c r="X4"/>
  <c r="R4"/>
  <c r="Q4"/>
  <c r="P4"/>
  <c r="O4"/>
  <c r="N4"/>
  <c r="I4"/>
  <c r="S5" l="1"/>
  <c r="P8"/>
  <c r="S7"/>
  <c r="AI5"/>
  <c r="AE5"/>
  <c r="AK7"/>
  <c r="AI4"/>
  <c r="O8"/>
  <c r="AG4"/>
  <c r="AH6"/>
  <c r="AF7"/>
  <c r="N8"/>
  <c r="R8"/>
  <c r="Q8" s="1"/>
  <c r="AF4"/>
  <c r="AK4"/>
  <c r="AG6"/>
  <c r="AF6" s="1"/>
  <c r="AE7"/>
  <c r="AE6"/>
  <c r="AK6"/>
  <c r="AI7"/>
  <c r="I8"/>
  <c r="S4"/>
  <c r="AH5"/>
  <c r="AL8"/>
  <c r="AH4"/>
  <c r="AG5"/>
  <c r="AG8" s="1"/>
  <c r="AI6"/>
  <c r="AN6" s="1"/>
  <c r="AH7"/>
  <c r="AF5"/>
  <c r="AK5"/>
  <c r="S6"/>
  <c r="X8"/>
  <c r="AC8"/>
  <c r="AN7" l="1"/>
  <c r="AK8"/>
  <c r="AJ8" s="1"/>
  <c r="AI8" s="1"/>
  <c r="AH8"/>
  <c r="AN5"/>
  <c r="AF8"/>
  <c r="AE8" s="1"/>
  <c r="AN4"/>
  <c r="S8"/>
  <c r="AO4" l="1"/>
  <c r="AN8"/>
  <c r="C8" i="31" l="1"/>
  <c r="D7"/>
  <c r="D6"/>
  <c r="D5"/>
  <c r="D4"/>
  <c r="D3"/>
  <c r="D8" s="1"/>
  <c r="AO5" i="32" l="1"/>
  <c r="AO8" s="1"/>
  <c r="AO6"/>
  <c r="AO7"/>
  <c r="I4" i="20" l="1"/>
  <c r="J4" s="1"/>
  <c r="H4"/>
  <c r="G4"/>
  <c r="I3" l="1"/>
  <c r="J3" s="1"/>
  <c r="I74"/>
  <c r="J74"/>
</calcChain>
</file>

<file path=xl/sharedStrings.xml><?xml version="1.0" encoding="utf-8"?>
<sst xmlns="http://schemas.openxmlformats.org/spreadsheetml/2006/main" count="576" uniqueCount="371">
  <si>
    <t>工资福利支出</t>
  </si>
  <si>
    <t>单位</t>
  </si>
  <si>
    <t>莘庄</t>
  </si>
  <si>
    <t>序号</t>
  </si>
  <si>
    <t>项目名称</t>
  </si>
  <si>
    <t>功能分类</t>
  </si>
  <si>
    <t>口径</t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</si>
  <si>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</si>
  <si>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</si>
  <si>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</si>
  <si>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</si>
  <si>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</si>
  <si>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</si>
  <si>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</si>
  <si>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</si>
  <si>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</si>
  <si>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</si>
  <si>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</si>
  <si>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</si>
  <si>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</si>
  <si>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</si>
  <si>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</si>
  <si>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</si>
  <si>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</si>
  <si>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</si>
  <si>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</si>
  <si>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</si>
  <si>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</si>
  <si>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</si>
  <si>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</si>
  <si>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</si>
  <si>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</si>
  <si>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</si>
  <si>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</si>
  <si>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</si>
  <si>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</si>
  <si>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</si>
  <si>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</si>
  <si>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　　　　1、工伤保险费0.256%</t>
    <phoneticPr fontId="2" type="noConversion"/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</si>
  <si>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</si>
  <si>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</si>
  <si>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</si>
  <si>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</si>
  <si>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</si>
  <si>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</si>
  <si>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</si>
  <si>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</si>
  <si>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</si>
  <si>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</si>
  <si>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</si>
  <si>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</si>
  <si>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</si>
  <si>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</si>
  <si>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</si>
  <si>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</si>
  <si>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</si>
  <si>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</si>
  <si>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</si>
  <si>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</si>
  <si>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</si>
  <si>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</si>
  <si>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</si>
  <si>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</si>
  <si>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22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</si>
  <si>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</si>
  <si>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</si>
  <si>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</si>
  <si>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</si>
  <si>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</si>
  <si>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</si>
  <si>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</si>
  <si>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</si>
  <si>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</si>
  <si>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</si>
  <si>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</si>
  <si>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</si>
  <si>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</si>
  <si>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</si>
  <si>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</si>
  <si>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</si>
  <si>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</si>
  <si>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</si>
  <si>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</si>
  <si>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</si>
  <si>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</si>
  <si>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</si>
  <si>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</si>
  <si>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</si>
  <si>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</si>
  <si>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</si>
  <si>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</si>
  <si>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</si>
  <si>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</si>
  <si>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</si>
  <si>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</si>
  <si>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　　其他支出对个人和家庭补助</t>
  </si>
  <si>
    <t>35</t>
  </si>
  <si>
    <t>　　　　1、其他</t>
    <phoneticPr fontId="2" type="noConversion"/>
  </si>
  <si>
    <t>除罗阳小学3人及七宝二中1人的退休共享费外，其他学校填0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</si>
  <si>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</si>
  <si>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</si>
  <si>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</si>
  <si>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</si>
  <si>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</si>
  <si>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</si>
  <si>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</si>
  <si>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</si>
  <si>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</si>
  <si>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</si>
  <si>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</si>
  <si>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</si>
  <si>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</si>
  <si>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</si>
  <si>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</si>
  <si>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</si>
  <si>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</si>
  <si>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</si>
  <si>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</si>
  <si>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</si>
  <si>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</si>
  <si>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</si>
  <si>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</si>
  <si>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</si>
  <si>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</si>
  <si>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</si>
  <si>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</si>
  <si>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　　　　1、在职福利费</t>
    <phoneticPr fontId="2" type="noConversion"/>
  </si>
  <si>
    <t>教职工人数*4320元（公式计算）</t>
  </si>
  <si>
    <t>47</t>
  </si>
  <si>
    <t>　　　　2、离退休福利费</t>
    <phoneticPr fontId="2" type="noConversion"/>
  </si>
  <si>
    <t>离退休人数*4320元（公式计算）</t>
    <phoneticPr fontId="2" type="noConversion"/>
  </si>
  <si>
    <t>48</t>
  </si>
  <si>
    <t>　　(六)工会经费</t>
    <phoneticPr fontId="2" type="noConversion"/>
  </si>
  <si>
    <t>49</t>
  </si>
  <si>
    <t>　　　　1、工会经费2%</t>
  </si>
  <si>
    <t>50</t>
  </si>
  <si>
    <t>　　(七)公务用车运行维护费★</t>
    <phoneticPr fontId="2" type="noConversion"/>
  </si>
  <si>
    <t>51</t>
  </si>
  <si>
    <t>　　　　1、教育系统，校/辆</t>
  </si>
  <si>
    <t>机关局有编制的车辆数*32000元/年（分园及分校预算在其他交通费中编制）</t>
  </si>
  <si>
    <t>52</t>
  </si>
  <si>
    <t>　　(八)其他商品和服务支出</t>
    <phoneticPr fontId="2" type="noConversion"/>
  </si>
  <si>
    <t>53</t>
  </si>
  <si>
    <t>　　　　1、离退休公用支出</t>
    <phoneticPr fontId="2" type="noConversion"/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</si>
  <si>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</si>
  <si>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</si>
  <si>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</si>
  <si>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</si>
  <si>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　　　　2、子女幼托费</t>
    <phoneticPr fontId="2" type="noConversion"/>
  </si>
  <si>
    <t>没有，填0</t>
  </si>
  <si>
    <t>56</t>
  </si>
  <si>
    <t>　　(九)其他交通费用</t>
    <phoneticPr fontId="2" type="noConversion"/>
  </si>
  <si>
    <t>57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</si>
  <si>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</si>
  <si>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2" type="noConversion"/>
  </si>
  <si>
    <t>58</t>
  </si>
  <si>
    <t>学校基本情况：</t>
  </si>
  <si>
    <t>59</t>
  </si>
  <si>
    <t>1、教职工(人数)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</si>
  <si>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</si>
  <si>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</si>
  <si>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</si>
  <si>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</si>
  <si>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</si>
  <si>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</si>
  <si>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</si>
  <si>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</si>
  <si>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</si>
  <si>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</si>
  <si>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</si>
  <si>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</si>
  <si>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65</t>
  </si>
  <si>
    <t>66</t>
  </si>
  <si>
    <t>67</t>
  </si>
  <si>
    <t>68</t>
  </si>
  <si>
    <t>69</t>
  </si>
  <si>
    <t>3、事业退休人员人数</t>
    <phoneticPr fontId="2" type="noConversion"/>
  </si>
  <si>
    <t>70</t>
  </si>
  <si>
    <t>4、教育单位房屋（面积）</t>
    <phoneticPr fontId="2" type="noConversion"/>
  </si>
  <si>
    <t>71</t>
  </si>
  <si>
    <t>5、教育单位绿化（面积）</t>
    <phoneticPr fontId="2" type="noConversion"/>
  </si>
  <si>
    <t>属性</t>
  </si>
  <si>
    <t>初中</t>
  </si>
  <si>
    <t>九年一贯</t>
  </si>
  <si>
    <t>小学</t>
  </si>
  <si>
    <t>幼儿园</t>
  </si>
  <si>
    <t>上海市闵行区明星学校</t>
  </si>
  <si>
    <t>闵行区佳佳中心幼儿园</t>
  </si>
  <si>
    <t>上海市闵行区康城幼儿园</t>
  </si>
  <si>
    <t>上海市闵行区实验幼儿园</t>
  </si>
  <si>
    <t>上海市闵行区莘庄镇社区学校</t>
  </si>
  <si>
    <t>镇属</t>
    <phoneticPr fontId="1" type="noConversion"/>
  </si>
  <si>
    <t>单位</t>
    <phoneticPr fontId="1" type="noConversion"/>
  </si>
  <si>
    <t>一次分配</t>
    <phoneticPr fontId="1" type="noConversion"/>
  </si>
  <si>
    <t>莘庄</t>
    <phoneticPr fontId="1" type="noConversion"/>
  </si>
  <si>
    <t>莘庄 汇总</t>
  </si>
  <si>
    <t>公积金预算</t>
    <phoneticPr fontId="1" type="noConversion"/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</si>
  <si>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</si>
  <si>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</si>
  <si>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</si>
  <si>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</si>
  <si>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</si>
  <si>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镇属</t>
  </si>
  <si>
    <t>学校</t>
  </si>
  <si>
    <t>学段</t>
    <phoneticPr fontId="1" type="noConversion"/>
  </si>
  <si>
    <t>园部</t>
    <phoneticPr fontId="1" type="noConversion"/>
  </si>
  <si>
    <t>教育教辅后勤应配用工人数(正常额度+临时额度）</t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</si>
  <si>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</si>
  <si>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</si>
  <si>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</si>
  <si>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</si>
  <si>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</si>
  <si>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</si>
  <si>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</si>
  <si>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</si>
  <si>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</si>
  <si>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</si>
  <si>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1" type="noConversion"/>
  </si>
  <si>
    <t>掌勺津贴</t>
    <phoneticPr fontId="1" type="noConversion"/>
  </si>
  <si>
    <t>管理费
（2023年全年）</t>
    <phoneticPr fontId="1" type="noConversion"/>
  </si>
  <si>
    <t>社保公积金
（35.256%）</t>
    <phoneticPr fontId="1" type="noConversion"/>
  </si>
  <si>
    <t>课后服务预估
（2024年预估）</t>
    <phoneticPr fontId="1" type="noConversion"/>
  </si>
  <si>
    <t>合计</t>
    <phoneticPr fontId="1" type="noConversion"/>
  </si>
  <si>
    <t>非义务</t>
    <phoneticPr fontId="1" type="noConversion"/>
  </si>
  <si>
    <t>义务</t>
    <phoneticPr fontId="1" type="noConversion"/>
  </si>
  <si>
    <t>闵行区康城幼儿园</t>
  </si>
  <si>
    <t>闵行区明星学校</t>
  </si>
  <si>
    <t>实验幼儿园</t>
  </si>
  <si>
    <t>莘庄合计</t>
  </si>
  <si>
    <t>80%下达</t>
    <phoneticPr fontId="1" type="noConversion"/>
  </si>
  <si>
    <t>2024年镇管单位补充公用经费预算表</t>
    <phoneticPr fontId="1" type="noConversion"/>
  </si>
  <si>
    <t>2024年公办义务教育减免书薄费预算表</t>
    <phoneticPr fontId="2" type="noConversion"/>
  </si>
  <si>
    <t>性质</t>
  </si>
  <si>
    <t>学校名称</t>
  </si>
  <si>
    <t>小学金额
（175元/学期*2）</t>
    <phoneticPr fontId="2" type="noConversion"/>
  </si>
  <si>
    <t>初中金额
（215元/学期*2）</t>
    <phoneticPr fontId="2" type="noConversion"/>
  </si>
  <si>
    <t>镇管</t>
  </si>
  <si>
    <t>九年一贯制</t>
  </si>
  <si>
    <t>2024义务教育学生营养午餐补助预算表</t>
    <phoneticPr fontId="1" type="noConversion"/>
  </si>
  <si>
    <t xml:space="preserve"> 单位名称</t>
  </si>
  <si>
    <t>单位类别</t>
  </si>
  <si>
    <t>下半年金额</t>
  </si>
  <si>
    <t>明星学校（初中）</t>
    <phoneticPr fontId="1" type="noConversion"/>
  </si>
  <si>
    <t>明星学校（小学）</t>
    <phoneticPr fontId="1" type="noConversion"/>
  </si>
  <si>
    <t>2023年第一学期各资助类型金额</t>
    <phoneticPr fontId="1" type="noConversion"/>
  </si>
  <si>
    <t>全年</t>
    <phoneticPr fontId="1" type="noConversion"/>
  </si>
  <si>
    <t>建档立卡贫困家庭学生</t>
    <phoneticPr fontId="1" type="noConversion"/>
  </si>
  <si>
    <t>低保家庭学生</t>
    <phoneticPr fontId="1" type="noConversion"/>
  </si>
  <si>
    <t>烈士家庭学生数</t>
  </si>
  <si>
    <t>适龄孤儿</t>
    <phoneticPr fontId="1" type="noConversion"/>
  </si>
  <si>
    <t>残疾学生</t>
    <phoneticPr fontId="1" type="noConversion"/>
  </si>
  <si>
    <t>低收入家庭学生</t>
  </si>
  <si>
    <t>困境儿童</t>
  </si>
  <si>
    <t>金额</t>
  </si>
  <si>
    <t>2024年学前教育资助预算表</t>
    <phoneticPr fontId="1" type="noConversion"/>
  </si>
  <si>
    <t>学段</t>
  </si>
  <si>
    <t>2023年第一学期资助金额</t>
    <phoneticPr fontId="1" type="noConversion"/>
  </si>
  <si>
    <t>全年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</si>
  <si>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</si>
  <si>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</si>
  <si>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</si>
  <si>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</si>
  <si>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</si>
  <si>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</si>
  <si>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</si>
  <si>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</si>
  <si>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</si>
  <si>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上海市闵行区康城幼儿园</t>
    <phoneticPr fontId="2" type="noConversion"/>
  </si>
  <si>
    <t>莘庄镇</t>
  </si>
  <si>
    <t>闵行区佳佳中心幼儿园</t>
    <phoneticPr fontId="2" type="noConversion"/>
  </si>
  <si>
    <t>莘庄小计</t>
    <phoneticPr fontId="1" type="noConversion"/>
  </si>
  <si>
    <t>教育教辅后勤应配用工人数(2023人保提供）</t>
    <phoneticPr fontId="1" type="noConversion"/>
  </si>
  <si>
    <t>因故额外增加临时额度（2023人保提供）</t>
    <phoneticPr fontId="1" type="noConversion"/>
  </si>
  <si>
    <t>2024年金额（年初预算：按中位数测算，学校实际执行按人事部门规定标准执行，严禁超标准发放）</t>
    <phoneticPr fontId="1" type="noConversion"/>
  </si>
  <si>
    <t>现有辅助用工人数（2023年人保科提供）</t>
    <phoneticPr fontId="1" type="noConversion"/>
  </si>
  <si>
    <t>单 位</t>
  </si>
  <si>
    <t>属性2</t>
  </si>
  <si>
    <t>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</si>
  <si>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</si>
  <si>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</si>
  <si>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课后延时</t>
  </si>
  <si>
    <t>总绩效</t>
  </si>
  <si>
    <t>义务</t>
  </si>
  <si>
    <t>非义务</t>
  </si>
  <si>
    <t>社校</t>
  </si>
  <si>
    <r>
      <t>2023年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</si>
  <si>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2023年核定金额</t>
    <phoneticPr fontId="1" type="noConversion"/>
  </si>
  <si>
    <t>2023年分配金额</t>
    <phoneticPr fontId="1" type="noConversion"/>
  </si>
  <si>
    <t>镇属</t>
    <phoneticPr fontId="48" type="noConversion"/>
  </si>
  <si>
    <t>莘庄</t>
    <phoneticPr fontId="48" type="noConversion"/>
  </si>
  <si>
    <t>人数</t>
    <phoneticPr fontId="1" type="noConversion"/>
  </si>
  <si>
    <t>金额（3元/人）</t>
    <phoneticPr fontId="1" type="noConversion"/>
  </si>
  <si>
    <t>2024年残疾人就业保障专项预算</t>
    <phoneticPr fontId="1" type="noConversion"/>
  </si>
  <si>
    <t>2024年社区教育</t>
    <phoneticPr fontId="1" type="noConversion"/>
  </si>
  <si>
    <t>2024年义务教育资助调整预算表</t>
    <phoneticPr fontId="1" type="noConversion"/>
  </si>
  <si>
    <t>2024年基本支出预算表（莘庄）</t>
    <phoneticPr fontId="2" type="noConversion"/>
  </si>
  <si>
    <t>学校全称</t>
  </si>
  <si>
    <t>地址</t>
  </si>
  <si>
    <t>维修类型</t>
  </si>
  <si>
    <t>建筑物名称</t>
  </si>
  <si>
    <t>校舍修缮内容</t>
  </si>
  <si>
    <t>工程量</t>
  </si>
  <si>
    <t>单价</t>
  </si>
  <si>
    <t>合价</t>
  </si>
  <si>
    <t>上海市闵行区康城幼儿园（新梅分园）</t>
  </si>
  <si>
    <t>报春路399弄58号</t>
  </si>
  <si>
    <t>校舍维修</t>
  </si>
  <si>
    <t>玻璃雨棚</t>
  </si>
  <si>
    <t>夹胶玻璃、钢结构(含拆除及外运)</t>
  </si>
  <si>
    <t>㎡</t>
  </si>
  <si>
    <t>1F门厅内墙、墙裙</t>
  </si>
  <si>
    <t>内墙涂料（墙面及顶面含铲除、外运、局部基础修粉）</t>
  </si>
  <si>
    <t>1F-4F楼梯间内墙、墙裙、栏杆扶手</t>
  </si>
  <si>
    <t>靠墙扶手（含原有栏杆拆除）</t>
  </si>
  <si>
    <t>m</t>
  </si>
  <si>
    <t>栏杆加高（含原有栏杆拆除）</t>
  </si>
  <si>
    <t>（一）建安费合计</t>
  </si>
  <si>
    <t>（二）工程建设其他费</t>
  </si>
  <si>
    <t>总投资（一）+（二）</t>
  </si>
  <si>
    <t>莘松路958弄大浪湾道64-65号</t>
  </si>
  <si>
    <t>室外洗手台</t>
  </si>
  <si>
    <t>钢结构人造石洗手台</t>
  </si>
  <si>
    <t>台盆（含龙头、明镜）</t>
  </si>
  <si>
    <t>套</t>
  </si>
  <si>
    <t>北楼幼儿卫生间(6间)</t>
  </si>
  <si>
    <t>矮墙墙砖(含铲除、外运、防水、基层)</t>
  </si>
  <si>
    <t>地砖(含铲除、外运、防水、基层)</t>
  </si>
  <si>
    <t>南楼幼儿卫生间(10间)</t>
  </si>
  <si>
    <t>东侧外楼梯</t>
  </si>
  <si>
    <t>外墙涂料(含铲除、腻子层、网格布、粉刷层)</t>
  </si>
  <si>
    <t>移动脚手架</t>
  </si>
  <si>
    <t>㎡/项</t>
  </si>
  <si>
    <t>上海市闵行区佳佳中心幼儿园（莘沥园）</t>
  </si>
  <si>
    <t>莘沥路294号</t>
  </si>
  <si>
    <t>校舍修缮</t>
  </si>
  <si>
    <t>活动室地板</t>
  </si>
  <si>
    <t>教室室内地板更换修缮（包括地板龙骨、踢脚线）</t>
  </si>
  <si>
    <t>空气检测费</t>
  </si>
  <si>
    <t>点</t>
  </si>
  <si>
    <t>上海市闵行区佳佳中心幼儿园（联东园）</t>
  </si>
  <si>
    <t>春申路2768弄56号</t>
  </si>
  <si>
    <t>教学楼大厅顶棚</t>
  </si>
  <si>
    <t>屋面采光顶整体铲除，新建屋面采光顶</t>
  </si>
  <si>
    <t>80%预下达</t>
    <phoneticPr fontId="1" type="noConversion"/>
  </si>
  <si>
    <t>2024年莘庄镇校舍维修审核明细表</t>
    <phoneticPr fontId="1" type="noConversion"/>
  </si>
  <si>
    <t>残疾就业保障</t>
    <phoneticPr fontId="1" type="noConversion"/>
  </si>
  <si>
    <t>合计</t>
    <phoneticPr fontId="1" type="noConversion"/>
  </si>
  <si>
    <t>补2023年经费</t>
    <phoneticPr fontId="1" type="noConversion"/>
  </si>
  <si>
    <t>2-6月课后延时</t>
    <phoneticPr fontId="1" type="noConversion"/>
  </si>
  <si>
    <t>9-12月课后延时</t>
    <phoneticPr fontId="1" type="noConversion"/>
  </si>
  <si>
    <t>2023年镇管学校制度外用工清算核定表（补充公用经费清算不含储备老师）</t>
    <phoneticPr fontId="48" type="noConversion"/>
  </si>
  <si>
    <t>小计课后延时</t>
    <phoneticPr fontId="1" type="noConversion"/>
  </si>
  <si>
    <t>2023年已下达课后延时金额</t>
    <phoneticPr fontId="1" type="noConversion"/>
  </si>
  <si>
    <t>清算课后延时金额</t>
    <phoneticPr fontId="1" type="noConversion"/>
  </si>
  <si>
    <t>2024年教育统筹经费第一次分配明细表</t>
    <phoneticPr fontId="1" type="noConversion"/>
  </si>
  <si>
    <t>莘庄镇：</t>
    <phoneticPr fontId="2" type="noConversion"/>
  </si>
  <si>
    <t>单位：元</t>
    <phoneticPr fontId="1" type="noConversion"/>
  </si>
  <si>
    <t>序号</t>
    <phoneticPr fontId="2" type="noConversion"/>
  </si>
  <si>
    <t>项目</t>
    <phoneticPr fontId="2" type="noConversion"/>
  </si>
  <si>
    <t>工资福利支出</t>
    <phoneticPr fontId="1" type="noConversion"/>
  </si>
  <si>
    <t>商品服务支出</t>
    <phoneticPr fontId="1" type="noConversion"/>
  </si>
  <si>
    <t>对个人和家庭的补助支出</t>
    <phoneticPr fontId="1" type="noConversion"/>
  </si>
  <si>
    <t>社区教育经费</t>
  </si>
  <si>
    <t>社区教育志愿者联盟</t>
  </si>
  <si>
    <t>补充公用经费</t>
    <phoneticPr fontId="1" type="noConversion"/>
  </si>
  <si>
    <t>义务教育减免书簿费</t>
    <phoneticPr fontId="1" type="noConversion"/>
  </si>
  <si>
    <t>义务教育营养午餐</t>
    <phoneticPr fontId="1" type="noConversion"/>
  </si>
  <si>
    <t>义务教育学生资助</t>
    <phoneticPr fontId="1" type="noConversion"/>
  </si>
  <si>
    <t>公办学前教育资助</t>
    <phoneticPr fontId="1" type="noConversion"/>
  </si>
  <si>
    <t>合计</t>
    <phoneticPr fontId="2" type="noConversion"/>
  </si>
  <si>
    <t>校舍维修</t>
    <phoneticPr fontId="1" type="noConversion"/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</si>
</sst>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[$-F800]dddd\,\ mmmm\ dd\,\ yyyy"/>
    <numFmt numFmtId="180" formatCode="0_ "/>
    <numFmt numFmtId="181" formatCode="0_);[Red]\(0\)"/>
  </numFmts>
  <fonts count="7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1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4"/>
      <name val="宋体"/>
      <family val="2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aj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color theme="1"/>
      <name val="宋体"/>
      <family val="2"/>
      <charset val="134"/>
      <scheme val="minor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name val="宋体"/>
      <family val="3"/>
      <charset val="134"/>
    </font>
    <font>
      <b/>
      <sz val="10"/>
      <name val="宋体"/>
      <family val="2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011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9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9" fillId="0" borderId="0">
      <alignment vertical="center"/>
    </xf>
    <xf numFmtId="0" fontId="4" fillId="0" borderId="0"/>
    <xf numFmtId="41" fontId="49" fillId="0" borderId="0" applyFont="0" applyFill="0" applyBorder="0" applyAlignment="0" applyProtection="0">
      <alignment vertical="center"/>
    </xf>
    <xf numFmtId="0" fontId="7" fillId="0" borderId="0"/>
    <xf numFmtId="178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219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39" fillId="28" borderId="13" xfId="0" applyNumberFormat="1" applyFont="1" applyFill="1" applyBorder="1" applyAlignment="1" applyProtection="1">
      <alignment horizontal="center" vertical="center"/>
      <protection locked="0"/>
    </xf>
    <xf numFmtId="0" fontId="39" fillId="28" borderId="13" xfId="0" applyNumberFormat="1" applyFont="1" applyFill="1" applyBorder="1" applyAlignment="1" applyProtection="1">
      <alignment horizontal="center" vertical="center" wrapText="1"/>
      <protection locked="0"/>
    </xf>
    <xf numFmtId="49" fontId="39" fillId="28" borderId="13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3" xfId="0" applyNumberFormat="1" applyFont="1" applyFill="1" applyBorder="1" applyAlignment="1" applyProtection="1">
      <alignment horizontal="center"/>
      <protection locked="0"/>
    </xf>
    <xf numFmtId="49" fontId="40" fillId="28" borderId="13" xfId="0" applyNumberFormat="1" applyFont="1" applyFill="1" applyBorder="1" applyAlignment="1" applyProtection="1">
      <protection locked="0"/>
    </xf>
    <xf numFmtId="49" fontId="40" fillId="28" borderId="13" xfId="0" applyNumberFormat="1" applyFont="1" applyFill="1" applyBorder="1" applyAlignment="1" applyProtection="1">
      <alignment wrapText="1"/>
      <protection locked="0"/>
    </xf>
    <xf numFmtId="177" fontId="41" fillId="28" borderId="13" xfId="0" applyNumberFormat="1" applyFont="1" applyFill="1" applyBorder="1" applyAlignment="1" applyProtection="1"/>
    <xf numFmtId="49" fontId="41" fillId="28" borderId="13" xfId="0" applyNumberFormat="1" applyFont="1" applyFill="1" applyBorder="1" applyAlignment="1" applyProtection="1">
      <alignment wrapText="1"/>
      <protection locked="0"/>
    </xf>
    <xf numFmtId="177" fontId="41" fillId="28" borderId="13" xfId="0" applyNumberFormat="1" applyFont="1" applyFill="1" applyBorder="1" applyAlignment="1" applyProtection="1">
      <protection locked="0"/>
    </xf>
    <xf numFmtId="49" fontId="41" fillId="28" borderId="13" xfId="0" applyNumberFormat="1" applyFont="1" applyFill="1" applyBorder="1" applyAlignment="1" applyProtection="1">
      <alignment horizontal="left" wrapText="1"/>
      <protection locked="0"/>
    </xf>
    <xf numFmtId="49" fontId="41" fillId="28" borderId="13" xfId="0" applyNumberFormat="1" applyFont="1" applyFill="1" applyBorder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0" fontId="40" fillId="2" borderId="13" xfId="0" applyNumberFormat="1" applyFont="1" applyFill="1" applyBorder="1" applyAlignment="1" applyProtection="1">
      <alignment horizontal="center"/>
      <protection locked="0"/>
    </xf>
    <xf numFmtId="49" fontId="2" fillId="2" borderId="13" xfId="0" applyNumberFormat="1" applyFont="1" applyFill="1" applyBorder="1" applyAlignment="1" applyProtection="1">
      <protection locked="0"/>
    </xf>
    <xf numFmtId="49" fontId="2" fillId="2" borderId="13" xfId="0" applyNumberFormat="1" applyFont="1" applyFill="1" applyBorder="1" applyAlignment="1" applyProtection="1">
      <alignment wrapText="1"/>
      <protection locked="0"/>
    </xf>
    <xf numFmtId="177" fontId="2" fillId="2" borderId="13" xfId="0" applyNumberFormat="1" applyFont="1" applyFill="1" applyBorder="1" applyAlignment="1" applyProtection="1">
      <protection locked="0"/>
    </xf>
    <xf numFmtId="177" fontId="41" fillId="2" borderId="13" xfId="0" applyNumberFormat="1" applyFont="1" applyFill="1" applyBorder="1" applyAlignment="1" applyProtection="1"/>
    <xf numFmtId="0" fontId="2" fillId="2" borderId="0" xfId="0" applyFont="1" applyFill="1" applyAlignment="1" applyProtection="1">
      <protection locked="0"/>
    </xf>
    <xf numFmtId="49" fontId="2" fillId="28" borderId="13" xfId="0" applyNumberFormat="1" applyFont="1" applyFill="1" applyBorder="1" applyAlignment="1" applyProtection="1">
      <protection locked="0"/>
    </xf>
    <xf numFmtId="177" fontId="2" fillId="28" borderId="13" xfId="0" applyNumberFormat="1" applyFont="1" applyFill="1" applyBorder="1" applyAlignment="1" applyProtection="1"/>
    <xf numFmtId="49" fontId="2" fillId="28" borderId="13" xfId="0" applyNumberFormat="1" applyFont="1" applyFill="1" applyBorder="1" applyAlignment="1" applyProtection="1">
      <alignment wrapText="1"/>
      <protection locked="0"/>
    </xf>
    <xf numFmtId="177" fontId="2" fillId="28" borderId="13" xfId="0" applyNumberFormat="1" applyFont="1" applyFill="1" applyBorder="1" applyAlignment="1" applyProtection="1">
      <protection locked="0"/>
    </xf>
    <xf numFmtId="49" fontId="40" fillId="2" borderId="13" xfId="0" applyNumberFormat="1" applyFont="1" applyFill="1" applyBorder="1" applyAlignment="1" applyProtection="1">
      <protection locked="0"/>
    </xf>
    <xf numFmtId="177" fontId="41" fillId="2" borderId="13" xfId="0" applyNumberFormat="1" applyFont="1" applyFill="1" applyBorder="1" applyAlignment="1" applyProtection="1">
      <protection locked="0"/>
    </xf>
    <xf numFmtId="49" fontId="41" fillId="2" borderId="13" xfId="0" applyNumberFormat="1" applyFont="1" applyFill="1" applyBorder="1" applyAlignment="1" applyProtection="1">
      <alignment wrapText="1"/>
      <protection locked="0"/>
    </xf>
    <xf numFmtId="0" fontId="2" fillId="2" borderId="13" xfId="0" applyFont="1" applyFill="1" applyBorder="1" applyAlignment="1" applyProtection="1">
      <alignment wrapText="1"/>
      <protection locked="0"/>
    </xf>
    <xf numFmtId="0" fontId="41" fillId="28" borderId="13" xfId="0" applyFont="1" applyFill="1" applyBorder="1" applyAlignment="1" applyProtection="1">
      <alignment wrapText="1"/>
      <protection locked="0"/>
    </xf>
    <xf numFmtId="0" fontId="2" fillId="28" borderId="13" xfId="0" applyFont="1" applyFill="1" applyBorder="1" applyAlignment="1" applyProtection="1">
      <alignment wrapText="1"/>
      <protection locked="0"/>
    </xf>
    <xf numFmtId="178" fontId="2" fillId="28" borderId="13" xfId="0" applyNumberFormat="1" applyFont="1" applyFill="1" applyBorder="1" applyAlignment="1" applyProtection="1">
      <protection locked="0"/>
    </xf>
    <xf numFmtId="49" fontId="40" fillId="28" borderId="14" xfId="0" applyNumberFormat="1" applyFont="1" applyFill="1" applyBorder="1" applyAlignment="1" applyProtection="1">
      <alignment vertical="center"/>
      <protection locked="0"/>
    </xf>
    <xf numFmtId="0" fontId="2" fillId="28" borderId="14" xfId="0" applyFont="1" applyFill="1" applyBorder="1" applyAlignment="1" applyProtection="1">
      <alignment wrapText="1"/>
      <protection locked="0"/>
    </xf>
    <xf numFmtId="177" fontId="2" fillId="28" borderId="14" xfId="0" applyNumberFormat="1" applyFont="1" applyFill="1" applyBorder="1" applyAlignment="1" applyProtection="1">
      <protection locked="0"/>
    </xf>
    <xf numFmtId="177" fontId="2" fillId="2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49" fontId="40" fillId="28" borderId="13" xfId="0" applyNumberFormat="1" applyFont="1" applyFill="1" applyBorder="1" applyAlignment="1" applyProtection="1">
      <alignment horizontal="left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49" fontId="41" fillId="2" borderId="13" xfId="0" applyNumberFormat="1" applyFont="1" applyFill="1" applyBorder="1" applyAlignment="1" applyProtection="1">
      <protection locked="0"/>
    </xf>
    <xf numFmtId="0" fontId="41" fillId="2" borderId="0" xfId="0" applyFont="1" applyFill="1" applyAlignment="1" applyProtection="1">
      <protection locked="0"/>
    </xf>
    <xf numFmtId="49" fontId="40" fillId="2" borderId="13" xfId="0" applyNumberFormat="1" applyFont="1" applyFill="1" applyBorder="1" applyAlignment="1" applyProtection="1">
      <alignment wrapText="1"/>
      <protection locked="0"/>
    </xf>
    <xf numFmtId="0" fontId="44" fillId="0" borderId="0" xfId="0" applyFont="1">
      <alignment vertical="center"/>
    </xf>
    <xf numFmtId="0" fontId="45" fillId="0" borderId="13" xfId="0" applyFont="1" applyBorder="1" applyAlignment="1">
      <alignment horizontal="center" vertical="center"/>
    </xf>
    <xf numFmtId="0" fontId="46" fillId="0" borderId="13" xfId="0" applyNumberFormat="1" applyFont="1" applyBorder="1" applyAlignment="1">
      <alignment horizontal="center" vertical="center"/>
    </xf>
    <xf numFmtId="0" fontId="40" fillId="28" borderId="1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>
      <alignment vertical="center"/>
    </xf>
    <xf numFmtId="0" fontId="45" fillId="2" borderId="0" xfId="0" applyNumberFormat="1" applyFont="1" applyFill="1">
      <alignment vertical="center"/>
    </xf>
    <xf numFmtId="0" fontId="2" fillId="29" borderId="13" xfId="0" applyNumberFormat="1" applyFont="1" applyFill="1" applyBorder="1" applyAlignment="1">
      <alignment horizontal="center" vertical="center" wrapText="1"/>
    </xf>
    <xf numFmtId="0" fontId="48" fillId="29" borderId="13" xfId="0" applyNumberFormat="1" applyFont="1" applyFill="1" applyBorder="1" applyAlignment="1">
      <alignment horizontal="center" vertical="center"/>
    </xf>
    <xf numFmtId="0" fontId="48" fillId="2" borderId="13" xfId="0" applyNumberFormat="1" applyFont="1" applyFill="1" applyBorder="1" applyAlignment="1">
      <alignment horizontal="center" vertical="center"/>
    </xf>
    <xf numFmtId="0" fontId="2" fillId="2" borderId="13" xfId="0" applyNumberFormat="1" applyFont="1" applyFill="1" applyBorder="1" applyAlignment="1">
      <alignment horizontal="center" vertical="center"/>
    </xf>
    <xf numFmtId="176" fontId="2" fillId="2" borderId="13" xfId="0" applyNumberFormat="1" applyFont="1" applyFill="1" applyBorder="1" applyAlignment="1">
      <alignment horizontal="center" vertical="center"/>
    </xf>
    <xf numFmtId="176" fontId="48" fillId="2" borderId="13" xfId="0" applyNumberFormat="1" applyFont="1" applyFill="1" applyBorder="1" applyAlignment="1">
      <alignment horizontal="center" vertical="center"/>
    </xf>
    <xf numFmtId="0" fontId="2" fillId="29" borderId="13" xfId="0" applyNumberFormat="1" applyFont="1" applyFill="1" applyBorder="1" applyAlignment="1">
      <alignment horizontal="center" vertical="center"/>
    </xf>
    <xf numFmtId="176" fontId="48" fillId="29" borderId="13" xfId="0" applyNumberFormat="1" applyFont="1" applyFill="1" applyBorder="1" applyAlignment="1">
      <alignment horizontal="center" vertical="center"/>
    </xf>
    <xf numFmtId="0" fontId="45" fillId="29" borderId="0" xfId="0" applyNumberFormat="1" applyFont="1" applyFill="1">
      <alignment vertical="center"/>
    </xf>
    <xf numFmtId="176" fontId="2" fillId="2" borderId="13" xfId="0" applyNumberFormat="1" applyFont="1" applyFill="1" applyBorder="1" applyAlignment="1">
      <alignment horizontal="center" vertical="center" wrapText="1"/>
    </xf>
    <xf numFmtId="0" fontId="2" fillId="2" borderId="13" xfId="0" applyNumberFormat="1" applyFont="1" applyFill="1" applyBorder="1" applyAlignment="1">
      <alignment horizontal="center" vertical="center" wrapText="1"/>
    </xf>
    <xf numFmtId="0" fontId="45" fillId="2" borderId="0" xfId="0" applyNumberFormat="1" applyFont="1" applyFill="1" applyAlignment="1">
      <alignment horizontal="center" vertical="center"/>
    </xf>
    <xf numFmtId="0" fontId="45" fillId="2" borderId="13" xfId="0" applyNumberFormat="1" applyFont="1" applyFill="1" applyBorder="1" applyAlignment="1">
      <alignment horizontal="center" vertical="center"/>
    </xf>
    <xf numFmtId="0" fontId="45" fillId="2" borderId="16" xfId="0" applyNumberFormat="1" applyFont="1" applyFill="1" applyBorder="1">
      <alignment vertical="center"/>
    </xf>
    <xf numFmtId="0" fontId="45" fillId="2" borderId="16" xfId="0" applyNumberFormat="1" applyFont="1" applyFill="1" applyBorder="1" applyAlignment="1">
      <alignment horizontal="center" vertical="center"/>
    </xf>
    <xf numFmtId="0" fontId="3" fillId="0" borderId="0" xfId="0" applyNumberFormat="1" applyFont="1" applyAlignment="1"/>
    <xf numFmtId="0" fontId="4" fillId="30" borderId="17" xfId="0" applyNumberFormat="1" applyFont="1" applyFill="1" applyBorder="1" applyAlignment="1">
      <alignment horizontal="center" vertical="center"/>
    </xf>
    <xf numFmtId="0" fontId="4" fillId="30" borderId="16" xfId="0" applyNumberFormat="1" applyFont="1" applyFill="1" applyBorder="1" applyAlignment="1">
      <alignment horizontal="center" vertical="center"/>
    </xf>
    <xf numFmtId="0" fontId="4" fillId="30" borderId="16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Border="1" applyAlignment="1"/>
    <xf numFmtId="0" fontId="3" fillId="0" borderId="16" xfId="0" applyNumberFormat="1" applyFont="1" applyBorder="1" applyAlignment="1">
      <alignment horizontal="center"/>
    </xf>
    <xf numFmtId="0" fontId="3" fillId="29" borderId="16" xfId="0" applyNumberFormat="1" applyFont="1" applyFill="1" applyBorder="1" applyAlignment="1">
      <alignment horizontal="center"/>
    </xf>
    <xf numFmtId="0" fontId="52" fillId="2" borderId="0" xfId="0" applyNumberFormat="1" applyFont="1" applyFill="1">
      <alignment vertical="center"/>
    </xf>
    <xf numFmtId="0" fontId="4" fillId="29" borderId="16" xfId="1094" applyNumberFormat="1" applyFont="1" applyFill="1" applyBorder="1" applyAlignment="1">
      <alignment horizontal="center" vertical="center"/>
    </xf>
    <xf numFmtId="0" fontId="53" fillId="29" borderId="16" xfId="2001" applyNumberFormat="1" applyFont="1" applyFill="1" applyBorder="1" applyAlignment="1">
      <alignment horizontal="center" vertical="center"/>
    </xf>
    <xf numFmtId="0" fontId="2" fillId="2" borderId="16" xfId="1094" applyNumberFormat="1" applyFont="1" applyFill="1" applyBorder="1" applyAlignment="1">
      <alignment horizontal="center" vertical="center" wrapText="1"/>
    </xf>
    <xf numFmtId="0" fontId="2" fillId="2" borderId="16" xfId="1094" applyNumberFormat="1" applyFont="1" applyFill="1" applyBorder="1" applyAlignment="1">
      <alignment vertical="center" wrapText="1"/>
    </xf>
    <xf numFmtId="0" fontId="43" fillId="2" borderId="16" xfId="1149" applyFont="1" applyFill="1" applyBorder="1" applyAlignment="1">
      <alignment horizontal="center" vertical="center"/>
    </xf>
    <xf numFmtId="0" fontId="48" fillId="2" borderId="16" xfId="2001" applyNumberFormat="1" applyFont="1" applyFill="1" applyBorder="1" applyAlignment="1">
      <alignment horizontal="center" vertical="center"/>
    </xf>
    <xf numFmtId="0" fontId="2" fillId="29" borderId="16" xfId="1094" applyNumberFormat="1" applyFont="1" applyFill="1" applyBorder="1" applyAlignment="1">
      <alignment horizontal="center" vertical="center" wrapText="1"/>
    </xf>
    <xf numFmtId="0" fontId="2" fillId="29" borderId="16" xfId="1094" applyNumberFormat="1" applyFont="1" applyFill="1" applyBorder="1" applyAlignment="1">
      <alignment vertical="center"/>
    </xf>
    <xf numFmtId="0" fontId="2" fillId="29" borderId="16" xfId="1094" applyNumberFormat="1" applyFont="1" applyFill="1" applyBorder="1" applyAlignment="1">
      <alignment vertical="center" wrapText="1"/>
    </xf>
    <xf numFmtId="0" fontId="48" fillId="29" borderId="16" xfId="2001" applyNumberFormat="1" applyFont="1" applyFill="1" applyBorder="1" applyAlignment="1">
      <alignment horizontal="center" vertical="center"/>
    </xf>
    <xf numFmtId="179" fontId="54" fillId="0" borderId="0" xfId="0" applyNumberFormat="1" applyFont="1">
      <alignment vertical="center"/>
    </xf>
    <xf numFmtId="0" fontId="42" fillId="29" borderId="16" xfId="2005" applyNumberFormat="1" applyFont="1" applyFill="1" applyBorder="1" applyAlignment="1">
      <alignment horizontal="center" vertical="center" wrapText="1"/>
    </xf>
    <xf numFmtId="0" fontId="55" fillId="29" borderId="16" xfId="2005" applyNumberFormat="1" applyFont="1" applyFill="1" applyBorder="1" applyAlignment="1">
      <alignment horizontal="center" vertical="center" wrapText="1"/>
    </xf>
    <xf numFmtId="0" fontId="2" fillId="28" borderId="16" xfId="1094" applyNumberFormat="1" applyFont="1" applyFill="1" applyBorder="1" applyAlignment="1">
      <alignment horizontal="center" vertical="center" wrapText="1"/>
    </xf>
    <xf numFmtId="0" fontId="53" fillId="0" borderId="16" xfId="1149" applyFont="1" applyBorder="1" applyAlignment="1">
      <alignment horizontal="center" vertical="center"/>
    </xf>
    <xf numFmtId="0" fontId="43" fillId="0" borderId="16" xfId="1149" applyFont="1" applyBorder="1" applyAlignment="1">
      <alignment horizontal="center" vertical="center"/>
    </xf>
    <xf numFmtId="0" fontId="56" fillId="0" borderId="16" xfId="1335" applyFont="1" applyBorder="1" applyAlignment="1">
      <alignment horizontal="center" vertical="center"/>
    </xf>
    <xf numFmtId="176" fontId="1" fillId="0" borderId="16" xfId="0" applyNumberFormat="1" applyFont="1" applyBorder="1">
      <alignment vertical="center"/>
    </xf>
    <xf numFmtId="0" fontId="4" fillId="0" borderId="16" xfId="1335" applyFont="1" applyBorder="1" applyAlignment="1">
      <alignment horizontal="center" vertical="center"/>
    </xf>
    <xf numFmtId="176" fontId="1" fillId="29" borderId="16" xfId="0" applyNumberFormat="1" applyFont="1" applyFill="1" applyBorder="1">
      <alignment vertical="center"/>
    </xf>
    <xf numFmtId="0" fontId="54" fillId="0" borderId="0" xfId="0" applyNumberFormat="1" applyFont="1" applyAlignment="1">
      <alignment horizontal="center" vertical="center"/>
    </xf>
    <xf numFmtId="0" fontId="54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58" fillId="29" borderId="16" xfId="1384" applyFont="1" applyFill="1" applyBorder="1" applyAlignment="1">
      <alignment horizontal="center" vertical="center" wrapText="1"/>
    </xf>
    <xf numFmtId="179" fontId="45" fillId="2" borderId="0" xfId="0" applyNumberFormat="1" applyFont="1" applyFill="1">
      <alignment vertical="center"/>
    </xf>
    <xf numFmtId="0" fontId="43" fillId="0" borderId="16" xfId="1150" applyFont="1" applyBorder="1" applyAlignment="1">
      <alignment horizontal="center" vertical="center" shrinkToFit="1"/>
    </xf>
    <xf numFmtId="0" fontId="45" fillId="2" borderId="16" xfId="1123" applyNumberFormat="1" applyFont="1" applyFill="1" applyBorder="1" applyAlignment="1">
      <alignment horizontal="center" vertical="center"/>
    </xf>
    <xf numFmtId="0" fontId="43" fillId="0" borderId="16" xfId="1150" applyFont="1" applyBorder="1" applyAlignment="1">
      <alignment horizontal="center" vertical="center"/>
    </xf>
    <xf numFmtId="0" fontId="43" fillId="0" borderId="16" xfId="1200" applyFont="1" applyBorder="1" applyAlignment="1">
      <alignment horizontal="center" vertical="center" shrinkToFit="1"/>
    </xf>
    <xf numFmtId="0" fontId="59" fillId="29" borderId="16" xfId="1123" applyNumberFormat="1" applyFont="1" applyFill="1" applyBorder="1" applyAlignment="1">
      <alignment horizontal="center" vertical="center" shrinkToFit="1"/>
    </xf>
    <xf numFmtId="0" fontId="45" fillId="29" borderId="16" xfId="1123" applyNumberFormat="1" applyFont="1" applyFill="1" applyBorder="1" applyAlignment="1">
      <alignment horizontal="center" vertical="center"/>
    </xf>
    <xf numFmtId="0" fontId="45" fillId="29" borderId="16" xfId="0" applyNumberFormat="1" applyFont="1" applyFill="1" applyBorder="1" applyAlignment="1">
      <alignment horizontal="center" vertical="center"/>
    </xf>
    <xf numFmtId="179" fontId="0" fillId="0" borderId="0" xfId="0" applyNumberFormat="1">
      <alignment vertical="center"/>
    </xf>
    <xf numFmtId="179" fontId="0" fillId="2" borderId="0" xfId="0" applyNumberFormat="1" applyFill="1">
      <alignment vertical="center"/>
    </xf>
    <xf numFmtId="0" fontId="45" fillId="0" borderId="16" xfId="0" applyFont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62" fillId="2" borderId="16" xfId="0" applyFont="1" applyFill="1" applyBorder="1" applyAlignment="1">
      <alignment horizontal="center" vertical="center" wrapText="1"/>
    </xf>
    <xf numFmtId="0" fontId="63" fillId="0" borderId="16" xfId="0" applyFont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 wrapText="1"/>
    </xf>
    <xf numFmtId="176" fontId="2" fillId="2" borderId="16" xfId="0" applyNumberFormat="1" applyFont="1" applyFill="1" applyBorder="1" applyAlignment="1">
      <alignment horizontal="center" vertical="center" wrapText="1"/>
    </xf>
    <xf numFmtId="176" fontId="45" fillId="0" borderId="16" xfId="0" applyNumberFormat="1" applyFont="1" applyBorder="1" applyAlignment="1">
      <alignment horizontal="center" vertical="center"/>
    </xf>
    <xf numFmtId="176" fontId="45" fillId="0" borderId="16" xfId="0" applyNumberFormat="1" applyFont="1" applyBorder="1">
      <alignment vertical="center"/>
    </xf>
    <xf numFmtId="0" fontId="45" fillId="0" borderId="0" xfId="0" applyFont="1">
      <alignment vertical="center"/>
    </xf>
    <xf numFmtId="0" fontId="63" fillId="0" borderId="0" xfId="0" applyFont="1">
      <alignment vertical="center"/>
    </xf>
    <xf numFmtId="0" fontId="0" fillId="0" borderId="0" xfId="0" applyFont="1">
      <alignment vertical="center"/>
    </xf>
    <xf numFmtId="0" fontId="63" fillId="0" borderId="16" xfId="0" applyFont="1" applyBorder="1">
      <alignment vertical="center"/>
    </xf>
    <xf numFmtId="0" fontId="66" fillId="0" borderId="16" xfId="0" applyNumberFormat="1" applyFont="1" applyFill="1" applyBorder="1">
      <alignment vertical="center"/>
    </xf>
    <xf numFmtId="176" fontId="63" fillId="2" borderId="16" xfId="0" applyNumberFormat="1" applyFont="1" applyFill="1" applyBorder="1">
      <alignment vertical="center"/>
    </xf>
    <xf numFmtId="176" fontId="66" fillId="0" borderId="16" xfId="0" applyNumberFormat="1" applyFont="1" applyFill="1" applyBorder="1">
      <alignment vertical="center"/>
    </xf>
    <xf numFmtId="176" fontId="63" fillId="0" borderId="16" xfId="0" applyNumberFormat="1" applyFont="1" applyBorder="1">
      <alignment vertical="center"/>
    </xf>
    <xf numFmtId="0" fontId="67" fillId="0" borderId="16" xfId="0" applyNumberFormat="1" applyFont="1" applyBorder="1">
      <alignment vertical="center"/>
    </xf>
    <xf numFmtId="0" fontId="0" fillId="0" borderId="16" xfId="0" applyBorder="1" applyAlignment="1">
      <alignment horizontal="center" vertical="center"/>
    </xf>
    <xf numFmtId="0" fontId="69" fillId="0" borderId="16" xfId="0" applyFont="1" applyBorder="1" applyAlignment="1">
      <alignment horizontal="center" vertical="center"/>
    </xf>
    <xf numFmtId="0" fontId="4" fillId="0" borderId="16" xfId="2006" applyBorder="1" applyAlignment="1">
      <alignment horizontal="center" vertical="center"/>
    </xf>
    <xf numFmtId="0" fontId="7" fillId="0" borderId="16" xfId="0" applyNumberFormat="1" applyFont="1" applyBorder="1" applyAlignment="1">
      <alignment horizontal="center" vertical="center"/>
    </xf>
    <xf numFmtId="0" fontId="42" fillId="0" borderId="0" xfId="0" applyFont="1" applyFill="1" applyAlignment="1"/>
    <xf numFmtId="0" fontId="0" fillId="0" borderId="0" xfId="0" applyAlignment="1"/>
    <xf numFmtId="0" fontId="57" fillId="0" borderId="16" xfId="0" applyFont="1" applyFill="1" applyBorder="1" applyAlignment="1">
      <alignment horizontal="center" vertical="center"/>
    </xf>
    <xf numFmtId="0" fontId="57" fillId="0" borderId="16" xfId="0" applyFont="1" applyFill="1" applyBorder="1" applyAlignment="1">
      <alignment horizontal="center" vertical="center" wrapText="1"/>
    </xf>
    <xf numFmtId="180" fontId="57" fillId="0" borderId="16" xfId="0" applyNumberFormat="1" applyFont="1" applyFill="1" applyBorder="1" applyAlignment="1">
      <alignment horizontal="center" vertical="center"/>
    </xf>
    <xf numFmtId="180" fontId="57" fillId="0" borderId="16" xfId="0" applyNumberFormat="1" applyFont="1" applyFill="1" applyBorder="1" applyAlignment="1">
      <alignment horizontal="center" vertical="center" wrapText="1"/>
    </xf>
    <xf numFmtId="176" fontId="57" fillId="0" borderId="16" xfId="2007" applyNumberFormat="1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 readingOrder="1"/>
    </xf>
    <xf numFmtId="0" fontId="4" fillId="0" borderId="16" xfId="2008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 readingOrder="1"/>
    </xf>
    <xf numFmtId="180" fontId="4" fillId="0" borderId="16" xfId="0" applyNumberFormat="1" applyFont="1" applyFill="1" applyBorder="1" applyAlignment="1">
      <alignment horizontal="center" vertical="center" wrapText="1" readingOrder="1"/>
    </xf>
    <xf numFmtId="176" fontId="4" fillId="0" borderId="16" xfId="0" applyNumberFormat="1" applyFont="1" applyFill="1" applyBorder="1" applyAlignment="1">
      <alignment horizontal="center" vertical="center" wrapText="1" readingOrder="1"/>
    </xf>
    <xf numFmtId="180" fontId="4" fillId="0" borderId="18" xfId="0" applyNumberFormat="1" applyFont="1" applyFill="1" applyBorder="1" applyAlignment="1">
      <alignment horizontal="center" vertical="center" wrapText="1" readingOrder="1"/>
    </xf>
    <xf numFmtId="0" fontId="57" fillId="0" borderId="16" xfId="2008" applyFont="1" applyFill="1" applyBorder="1" applyAlignment="1">
      <alignment horizontal="center" vertical="center" wrapText="1"/>
    </xf>
    <xf numFmtId="180" fontId="4" fillId="0" borderId="16" xfId="2008" applyNumberFormat="1" applyFont="1" applyFill="1" applyBorder="1" applyAlignment="1">
      <alignment horizontal="center" vertical="center" wrapText="1"/>
    </xf>
    <xf numFmtId="176" fontId="57" fillId="0" borderId="16" xfId="0" applyNumberFormat="1" applyFont="1" applyFill="1" applyBorder="1" applyAlignment="1">
      <alignment horizontal="center" vertical="center" wrapText="1"/>
    </xf>
    <xf numFmtId="176" fontId="4" fillId="0" borderId="16" xfId="2007" applyNumberFormat="1" applyFont="1" applyFill="1" applyBorder="1" applyAlignment="1">
      <alignment horizontal="center" vertical="center" wrapText="1"/>
    </xf>
    <xf numFmtId="181" fontId="4" fillId="0" borderId="16" xfId="0" applyNumberFormat="1" applyFont="1" applyFill="1" applyBorder="1" applyAlignment="1">
      <alignment horizontal="center" vertical="center" wrapText="1"/>
    </xf>
    <xf numFmtId="176" fontId="4" fillId="0" borderId="16" xfId="0" applyNumberFormat="1" applyFont="1" applyFill="1" applyBorder="1" applyAlignment="1">
      <alignment horizontal="center" vertical="center" wrapText="1"/>
    </xf>
    <xf numFmtId="0" fontId="2" fillId="0" borderId="1" xfId="2008" applyFont="1" applyFill="1" applyBorder="1" applyAlignment="1">
      <alignment horizontal="center" vertical="center" wrapText="1"/>
    </xf>
    <xf numFmtId="0" fontId="4" fillId="0" borderId="1" xfId="2008" applyFont="1" applyFill="1" applyBorder="1" applyAlignment="1">
      <alignment horizontal="center" vertical="center" wrapText="1"/>
    </xf>
    <xf numFmtId="18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176" fontId="57" fillId="0" borderId="16" xfId="2007" applyNumberFormat="1" applyFont="1" applyFill="1" applyBorder="1" applyAlignment="1">
      <alignment horizontal="center" vertical="center"/>
    </xf>
    <xf numFmtId="180" fontId="42" fillId="0" borderId="0" xfId="0" applyNumberFormat="1" applyFont="1" applyFill="1" applyAlignment="1"/>
    <xf numFmtId="176" fontId="42" fillId="0" borderId="0" xfId="0" applyNumberFormat="1" applyFont="1" applyFill="1" applyAlignment="1"/>
    <xf numFmtId="0" fontId="4" fillId="0" borderId="0" xfId="0" applyFont="1" applyFill="1" applyAlignment="1"/>
    <xf numFmtId="176" fontId="4" fillId="0" borderId="16" xfId="0" applyNumberFormat="1" applyFont="1" applyFill="1" applyBorder="1" applyAlignment="1">
      <alignment horizontal="center" vertical="center"/>
    </xf>
    <xf numFmtId="0" fontId="71" fillId="0" borderId="16" xfId="0" applyFont="1" applyFill="1" applyBorder="1" applyAlignment="1">
      <alignment horizontal="center" vertical="center"/>
    </xf>
    <xf numFmtId="176" fontId="4" fillId="0" borderId="0" xfId="0" applyNumberFormat="1" applyFont="1" applyFill="1" applyAlignment="1"/>
    <xf numFmtId="0" fontId="63" fillId="2" borderId="16" xfId="0" applyFont="1" applyFill="1" applyBorder="1" applyAlignment="1">
      <alignment horizontal="center" vertical="center"/>
    </xf>
    <xf numFmtId="0" fontId="2" fillId="2" borderId="16" xfId="0" applyNumberFormat="1" applyFont="1" applyFill="1" applyBorder="1" applyAlignment="1">
      <alignment horizontal="center" vertical="center" wrapText="1"/>
    </xf>
    <xf numFmtId="0" fontId="45" fillId="2" borderId="16" xfId="0" applyFont="1" applyFill="1" applyBorder="1" applyAlignment="1">
      <alignment horizontal="center" vertical="center"/>
    </xf>
    <xf numFmtId="0" fontId="0" fillId="2" borderId="0" xfId="0" applyFont="1" applyFill="1">
      <alignment vertical="center"/>
    </xf>
    <xf numFmtId="0" fontId="74" fillId="0" borderId="0" xfId="0" applyNumberFormat="1" applyFont="1" applyAlignment="1">
      <alignment horizontal="right" vertical="center"/>
    </xf>
    <xf numFmtId="0" fontId="75" fillId="0" borderId="16" xfId="0" applyNumberFormat="1" applyFont="1" applyBorder="1" applyAlignment="1">
      <alignment horizontal="center" vertical="center"/>
    </xf>
    <xf numFmtId="0" fontId="75" fillId="0" borderId="16" xfId="0" applyNumberFormat="1" applyFont="1" applyFill="1" applyBorder="1" applyAlignment="1">
      <alignment horizontal="center" vertical="center"/>
    </xf>
    <xf numFmtId="176" fontId="76" fillId="0" borderId="16" xfId="0" applyNumberFormat="1" applyFont="1" applyBorder="1">
      <alignment vertical="center"/>
    </xf>
    <xf numFmtId="0" fontId="75" fillId="0" borderId="16" xfId="0" applyNumberFormat="1" applyFont="1" applyBorder="1" applyAlignment="1">
      <alignment horizontal="center" vertical="center" wrapText="1"/>
    </xf>
    <xf numFmtId="176" fontId="75" fillId="0" borderId="16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72" fillId="0" borderId="0" xfId="0" applyNumberFormat="1" applyFont="1" applyBorder="1" applyAlignment="1">
      <alignment horizontal="center" vertical="center"/>
    </xf>
    <xf numFmtId="179" fontId="0" fillId="0" borderId="0" xfId="0" applyNumberFormat="1" applyAlignment="1">
      <alignment vertical="center"/>
    </xf>
    <xf numFmtId="0" fontId="73" fillId="0" borderId="15" xfId="0" applyNumberFormat="1" applyFont="1" applyBorder="1" applyAlignment="1">
      <alignment vertical="center"/>
    </xf>
    <xf numFmtId="179" fontId="0" fillId="0" borderId="15" xfId="0" applyNumberFormat="1" applyBorder="1" applyAlignment="1">
      <alignment vertical="center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60" fillId="0" borderId="15" xfId="0" applyFont="1" applyBorder="1" applyAlignment="1">
      <alignment horizontal="center" vertical="center"/>
    </xf>
    <xf numFmtId="0" fontId="61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/>
    </xf>
    <xf numFmtId="0" fontId="62" fillId="2" borderId="11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44" fillId="0" borderId="0" xfId="0" applyFont="1" applyAlignment="1">
      <alignment horizontal="center" vertical="center"/>
    </xf>
    <xf numFmtId="0" fontId="44" fillId="0" borderId="0" xfId="0" applyFont="1" applyAlignment="1">
      <alignment vertical="center"/>
    </xf>
    <xf numFmtId="0" fontId="68" fillId="0" borderId="0" xfId="0" applyFont="1" applyAlignment="1">
      <alignment horizontal="center" vertical="center"/>
    </xf>
    <xf numFmtId="0" fontId="47" fillId="2" borderId="15" xfId="0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2" fillId="29" borderId="13" xfId="0" applyNumberFormat="1" applyFont="1" applyFill="1" applyBorder="1" applyAlignment="1">
      <alignment horizontal="center" vertical="center"/>
    </xf>
    <xf numFmtId="0" fontId="45" fillId="29" borderId="11" xfId="0" applyNumberFormat="1" applyFont="1" applyFill="1" applyBorder="1" applyAlignment="1">
      <alignment horizontal="center" vertical="center"/>
    </xf>
    <xf numFmtId="0" fontId="45" fillId="29" borderId="1" xfId="0" applyNumberFormat="1" applyFont="1" applyFill="1" applyBorder="1" applyAlignment="1">
      <alignment horizontal="center" vertical="center"/>
    </xf>
    <xf numFmtId="0" fontId="48" fillId="29" borderId="13" xfId="0" applyNumberFormat="1" applyFont="1" applyFill="1" applyBorder="1" applyAlignment="1">
      <alignment horizontal="center" vertical="center"/>
    </xf>
    <xf numFmtId="0" fontId="64" fillId="0" borderId="15" xfId="0" applyFont="1" applyBorder="1" applyAlignment="1">
      <alignment horizontal="center" vertical="center"/>
    </xf>
    <xf numFmtId="0" fontId="65" fillId="0" borderId="15" xfId="0" applyFont="1" applyBorder="1" applyAlignment="1">
      <alignment vertical="center"/>
    </xf>
    <xf numFmtId="0" fontId="50" fillId="0" borderId="15" xfId="0" applyNumberFormat="1" applyFont="1" applyBorder="1" applyAlignment="1">
      <alignment horizontal="center" vertical="center"/>
    </xf>
    <xf numFmtId="179" fontId="51" fillId="0" borderId="15" xfId="0" applyNumberFormat="1" applyFont="1" applyBorder="1" applyAlignment="1">
      <alignment horizontal="center" vertical="center"/>
    </xf>
    <xf numFmtId="0" fontId="42" fillId="29" borderId="16" xfId="1094" applyNumberFormat="1" applyFont="1" applyFill="1" applyBorder="1" applyAlignment="1">
      <alignment horizontal="center" vertical="center"/>
    </xf>
    <xf numFmtId="0" fontId="54" fillId="0" borderId="16" xfId="2005" applyNumberFormat="1" applyFont="1" applyBorder="1" applyAlignment="1">
      <alignment horizontal="center" vertical="center"/>
    </xf>
    <xf numFmtId="0" fontId="42" fillId="29" borderId="16" xfId="2005" applyNumberFormat="1" applyFont="1" applyFill="1" applyBorder="1" applyAlignment="1">
      <alignment horizontal="center" vertical="center" wrapText="1"/>
    </xf>
    <xf numFmtId="179" fontId="54" fillId="29" borderId="18" xfId="0" applyNumberFormat="1" applyFont="1" applyFill="1" applyBorder="1" applyAlignment="1">
      <alignment horizontal="center" vertical="center"/>
    </xf>
    <xf numFmtId="179" fontId="54" fillId="29" borderId="12" xfId="0" applyNumberFormat="1" applyFont="1" applyFill="1" applyBorder="1" applyAlignment="1">
      <alignment horizontal="center" vertical="center"/>
    </xf>
    <xf numFmtId="179" fontId="54" fillId="29" borderId="1" xfId="0" applyNumberFormat="1" applyFont="1" applyFill="1" applyBorder="1" applyAlignment="1">
      <alignment horizontal="center" vertical="center"/>
    </xf>
    <xf numFmtId="0" fontId="51" fillId="2" borderId="15" xfId="2001" applyNumberFormat="1" applyFont="1" applyFill="1" applyBorder="1" applyAlignment="1">
      <alignment horizontal="center" vertical="center"/>
    </xf>
    <xf numFmtId="0" fontId="51" fillId="2" borderId="15" xfId="2001" applyNumberFormat="1" applyFont="1" applyFill="1" applyBorder="1" applyAlignment="1">
      <alignment vertical="center"/>
    </xf>
    <xf numFmtId="179" fontId="54" fillId="29" borderId="16" xfId="0" applyNumberFormat="1" applyFont="1" applyFill="1" applyBorder="1" applyAlignment="1">
      <alignment horizontal="center" vertical="center"/>
    </xf>
    <xf numFmtId="176" fontId="4" fillId="0" borderId="16" xfId="0" applyNumberFormat="1" applyFont="1" applyFill="1" applyBorder="1" applyAlignment="1">
      <alignment horizontal="center" vertical="center"/>
    </xf>
    <xf numFmtId="0" fontId="70" fillId="0" borderId="15" xfId="0" applyFont="1" applyFill="1" applyBorder="1" applyAlignment="1">
      <alignment horizontal="center" vertical="center"/>
    </xf>
    <xf numFmtId="180" fontId="70" fillId="0" borderId="15" xfId="0" applyNumberFormat="1" applyFont="1" applyFill="1" applyBorder="1" applyAlignment="1">
      <alignment horizontal="center" vertical="center"/>
    </xf>
    <xf numFmtId="0" fontId="4" fillId="0" borderId="16" xfId="2008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 readingOrder="1"/>
    </xf>
    <xf numFmtId="0" fontId="4" fillId="0" borderId="18" xfId="0" applyFont="1" applyFill="1" applyBorder="1" applyAlignment="1">
      <alignment horizontal="center" vertical="center" wrapText="1" readingOrder="1"/>
    </xf>
    <xf numFmtId="0" fontId="4" fillId="0" borderId="12" xfId="0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</cellXfs>
  <cellStyles count="2011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10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7" builtinId="6"/>
    <cellStyle name="千位分隔[0] 2" xfId="2009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3688;&#24196;&#38215;2024&#24180;&#38215;&#32423;&#32479;&#31609;&#19968;&#27425;&#20998;&#37197;&#21021;&#3129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莘庄镇"/>
      <sheetName val="莘庄"/>
      <sheetName val="残疾就业保障"/>
      <sheetName val="补充公用经费"/>
      <sheetName val="公办义务教育减免书薄费"/>
      <sheetName val="公办义务教育资助"/>
      <sheetName val="公办义务教育营养午餐"/>
      <sheetName val="公办学前资助"/>
      <sheetName val="社区教育"/>
      <sheetName val="社区教育志愿者联盟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4">
          <cell r="C4">
            <v>40000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selection activeCell="C17" sqref="C17"/>
    </sheetView>
  </sheetViews>
  <sheetFormatPr defaultColWidth="9" defaultRowHeight="13.5"/>
  <cols>
    <col min="1" max="1" width="10.625" style="97" customWidth="1"/>
    <col min="2" max="2" width="30.625" style="171" customWidth="1"/>
    <col min="3" max="3" width="30.625" style="97" customWidth="1"/>
    <col min="4" max="4" width="20.5" style="97" bestFit="1" customWidth="1"/>
    <col min="5" max="5" width="18.625" style="97" hidden="1" customWidth="1"/>
    <col min="6" max="6" width="18.375" style="97" bestFit="1" customWidth="1"/>
    <col min="7" max="7" width="14.375" style="97" hidden="1" customWidth="1"/>
    <col min="8" max="8" width="14.25" style="97" hidden="1" customWidth="1"/>
    <col min="9" max="252" width="9" style="97"/>
    <col min="253" max="253" width="6.625" style="97" customWidth="1"/>
    <col min="254" max="255" width="21.625" style="97" customWidth="1"/>
    <col min="256" max="256" width="16.125" style="97" bestFit="1" customWidth="1"/>
    <col min="257" max="257" width="13.875" style="97" bestFit="1" customWidth="1"/>
    <col min="258" max="258" width="17.25" style="97" bestFit="1" customWidth="1"/>
    <col min="259" max="260" width="20.5" style="97" bestFit="1" customWidth="1"/>
    <col min="261" max="261" width="0" style="97" hidden="1" customWidth="1"/>
    <col min="262" max="262" width="18.375" style="97" bestFit="1" customWidth="1"/>
    <col min="263" max="264" width="0" style="97" hidden="1" customWidth="1"/>
    <col min="265" max="508" width="9" style="97"/>
    <col min="509" max="509" width="6.625" style="97" customWidth="1"/>
    <col min="510" max="511" width="21.625" style="97" customWidth="1"/>
    <col min="512" max="512" width="16.125" style="97" bestFit="1" customWidth="1"/>
    <col min="513" max="513" width="13.875" style="97" bestFit="1" customWidth="1"/>
    <col min="514" max="514" width="17.25" style="97" bestFit="1" customWidth="1"/>
    <col min="515" max="516" width="20.5" style="97" bestFit="1" customWidth="1"/>
    <col min="517" max="517" width="0" style="97" hidden="1" customWidth="1"/>
    <col min="518" max="518" width="18.375" style="97" bestFit="1" customWidth="1"/>
    <col min="519" max="520" width="0" style="97" hidden="1" customWidth="1"/>
    <col min="521" max="764" width="9" style="97"/>
    <col min="765" max="765" width="6.625" style="97" customWidth="1"/>
    <col min="766" max="767" width="21.625" style="97" customWidth="1"/>
    <col min="768" max="768" width="16.125" style="97" bestFit="1" customWidth="1"/>
    <col min="769" max="769" width="13.875" style="97" bestFit="1" customWidth="1"/>
    <col min="770" max="770" width="17.25" style="97" bestFit="1" customWidth="1"/>
    <col min="771" max="772" width="20.5" style="97" bestFit="1" customWidth="1"/>
    <col min="773" max="773" width="0" style="97" hidden="1" customWidth="1"/>
    <col min="774" max="774" width="18.375" style="97" bestFit="1" customWidth="1"/>
    <col min="775" max="776" width="0" style="97" hidden="1" customWidth="1"/>
    <col min="777" max="1020" width="9" style="97"/>
    <col min="1021" max="1021" width="6.625" style="97" customWidth="1"/>
    <col min="1022" max="1023" width="21.625" style="97" customWidth="1"/>
    <col min="1024" max="1024" width="16.125" style="97" bestFit="1" customWidth="1"/>
    <col min="1025" max="1025" width="13.875" style="97" bestFit="1" customWidth="1"/>
    <col min="1026" max="1026" width="17.25" style="97" bestFit="1" customWidth="1"/>
    <col min="1027" max="1028" width="20.5" style="97" bestFit="1" customWidth="1"/>
    <col min="1029" max="1029" width="0" style="97" hidden="1" customWidth="1"/>
    <col min="1030" max="1030" width="18.375" style="97" bestFit="1" customWidth="1"/>
    <col min="1031" max="1032" width="0" style="97" hidden="1" customWidth="1"/>
    <col min="1033" max="1276" width="9" style="97"/>
    <col min="1277" max="1277" width="6.625" style="97" customWidth="1"/>
    <col min="1278" max="1279" width="21.625" style="97" customWidth="1"/>
    <col min="1280" max="1280" width="16.125" style="97" bestFit="1" customWidth="1"/>
    <col min="1281" max="1281" width="13.875" style="97" bestFit="1" customWidth="1"/>
    <col min="1282" max="1282" width="17.25" style="97" bestFit="1" customWidth="1"/>
    <col min="1283" max="1284" width="20.5" style="97" bestFit="1" customWidth="1"/>
    <col min="1285" max="1285" width="0" style="97" hidden="1" customWidth="1"/>
    <col min="1286" max="1286" width="18.375" style="97" bestFit="1" customWidth="1"/>
    <col min="1287" max="1288" width="0" style="97" hidden="1" customWidth="1"/>
    <col min="1289" max="1532" width="9" style="97"/>
    <col min="1533" max="1533" width="6.625" style="97" customWidth="1"/>
    <col min="1534" max="1535" width="21.625" style="97" customWidth="1"/>
    <col min="1536" max="1536" width="16.125" style="97" bestFit="1" customWidth="1"/>
    <col min="1537" max="1537" width="13.875" style="97" bestFit="1" customWidth="1"/>
    <col min="1538" max="1538" width="17.25" style="97" bestFit="1" customWidth="1"/>
    <col min="1539" max="1540" width="20.5" style="97" bestFit="1" customWidth="1"/>
    <col min="1541" max="1541" width="0" style="97" hidden="1" customWidth="1"/>
    <col min="1542" max="1542" width="18.375" style="97" bestFit="1" customWidth="1"/>
    <col min="1543" max="1544" width="0" style="97" hidden="1" customWidth="1"/>
    <col min="1545" max="1788" width="9" style="97"/>
    <col min="1789" max="1789" width="6.625" style="97" customWidth="1"/>
    <col min="1790" max="1791" width="21.625" style="97" customWidth="1"/>
    <col min="1792" max="1792" width="16.125" style="97" bestFit="1" customWidth="1"/>
    <col min="1793" max="1793" width="13.875" style="97" bestFit="1" customWidth="1"/>
    <col min="1794" max="1794" width="17.25" style="97" bestFit="1" customWidth="1"/>
    <col min="1795" max="1796" width="20.5" style="97" bestFit="1" customWidth="1"/>
    <col min="1797" max="1797" width="0" style="97" hidden="1" customWidth="1"/>
    <col min="1798" max="1798" width="18.375" style="97" bestFit="1" customWidth="1"/>
    <col min="1799" max="1800" width="0" style="97" hidden="1" customWidth="1"/>
    <col min="1801" max="2044" width="9" style="97"/>
    <col min="2045" max="2045" width="6.625" style="97" customWidth="1"/>
    <col min="2046" max="2047" width="21.625" style="97" customWidth="1"/>
    <col min="2048" max="2048" width="16.125" style="97" bestFit="1" customWidth="1"/>
    <col min="2049" max="2049" width="13.875" style="97" bestFit="1" customWidth="1"/>
    <col min="2050" max="2050" width="17.25" style="97" bestFit="1" customWidth="1"/>
    <col min="2051" max="2052" width="20.5" style="97" bestFit="1" customWidth="1"/>
    <col min="2053" max="2053" width="0" style="97" hidden="1" customWidth="1"/>
    <col min="2054" max="2054" width="18.375" style="97" bestFit="1" customWidth="1"/>
    <col min="2055" max="2056" width="0" style="97" hidden="1" customWidth="1"/>
    <col min="2057" max="2300" width="9" style="97"/>
    <col min="2301" max="2301" width="6.625" style="97" customWidth="1"/>
    <col min="2302" max="2303" width="21.625" style="97" customWidth="1"/>
    <col min="2304" max="2304" width="16.125" style="97" bestFit="1" customWidth="1"/>
    <col min="2305" max="2305" width="13.875" style="97" bestFit="1" customWidth="1"/>
    <col min="2306" max="2306" width="17.25" style="97" bestFit="1" customWidth="1"/>
    <col min="2307" max="2308" width="20.5" style="97" bestFit="1" customWidth="1"/>
    <col min="2309" max="2309" width="0" style="97" hidden="1" customWidth="1"/>
    <col min="2310" max="2310" width="18.375" style="97" bestFit="1" customWidth="1"/>
    <col min="2311" max="2312" width="0" style="97" hidden="1" customWidth="1"/>
    <col min="2313" max="2556" width="9" style="97"/>
    <col min="2557" max="2557" width="6.625" style="97" customWidth="1"/>
    <col min="2558" max="2559" width="21.625" style="97" customWidth="1"/>
    <col min="2560" max="2560" width="16.125" style="97" bestFit="1" customWidth="1"/>
    <col min="2561" max="2561" width="13.875" style="97" bestFit="1" customWidth="1"/>
    <col min="2562" max="2562" width="17.25" style="97" bestFit="1" customWidth="1"/>
    <col min="2563" max="2564" width="20.5" style="97" bestFit="1" customWidth="1"/>
    <col min="2565" max="2565" width="0" style="97" hidden="1" customWidth="1"/>
    <col min="2566" max="2566" width="18.375" style="97" bestFit="1" customWidth="1"/>
    <col min="2567" max="2568" width="0" style="97" hidden="1" customWidth="1"/>
    <col min="2569" max="2812" width="9" style="97"/>
    <col min="2813" max="2813" width="6.625" style="97" customWidth="1"/>
    <col min="2814" max="2815" width="21.625" style="97" customWidth="1"/>
    <col min="2816" max="2816" width="16.125" style="97" bestFit="1" customWidth="1"/>
    <col min="2817" max="2817" width="13.875" style="97" bestFit="1" customWidth="1"/>
    <col min="2818" max="2818" width="17.25" style="97" bestFit="1" customWidth="1"/>
    <col min="2819" max="2820" width="20.5" style="97" bestFit="1" customWidth="1"/>
    <col min="2821" max="2821" width="0" style="97" hidden="1" customWidth="1"/>
    <col min="2822" max="2822" width="18.375" style="97" bestFit="1" customWidth="1"/>
    <col min="2823" max="2824" width="0" style="97" hidden="1" customWidth="1"/>
    <col min="2825" max="3068" width="9" style="97"/>
    <col min="3069" max="3069" width="6.625" style="97" customWidth="1"/>
    <col min="3070" max="3071" width="21.625" style="97" customWidth="1"/>
    <col min="3072" max="3072" width="16.125" style="97" bestFit="1" customWidth="1"/>
    <col min="3073" max="3073" width="13.875" style="97" bestFit="1" customWidth="1"/>
    <col min="3074" max="3074" width="17.25" style="97" bestFit="1" customWidth="1"/>
    <col min="3075" max="3076" width="20.5" style="97" bestFit="1" customWidth="1"/>
    <col min="3077" max="3077" width="0" style="97" hidden="1" customWidth="1"/>
    <col min="3078" max="3078" width="18.375" style="97" bestFit="1" customWidth="1"/>
    <col min="3079" max="3080" width="0" style="97" hidden="1" customWidth="1"/>
    <col min="3081" max="3324" width="9" style="97"/>
    <col min="3325" max="3325" width="6.625" style="97" customWidth="1"/>
    <col min="3326" max="3327" width="21.625" style="97" customWidth="1"/>
    <col min="3328" max="3328" width="16.125" style="97" bestFit="1" customWidth="1"/>
    <col min="3329" max="3329" width="13.875" style="97" bestFit="1" customWidth="1"/>
    <col min="3330" max="3330" width="17.25" style="97" bestFit="1" customWidth="1"/>
    <col min="3331" max="3332" width="20.5" style="97" bestFit="1" customWidth="1"/>
    <col min="3333" max="3333" width="0" style="97" hidden="1" customWidth="1"/>
    <col min="3334" max="3334" width="18.375" style="97" bestFit="1" customWidth="1"/>
    <col min="3335" max="3336" width="0" style="97" hidden="1" customWidth="1"/>
    <col min="3337" max="3580" width="9" style="97"/>
    <col min="3581" max="3581" width="6.625" style="97" customWidth="1"/>
    <col min="3582" max="3583" width="21.625" style="97" customWidth="1"/>
    <col min="3584" max="3584" width="16.125" style="97" bestFit="1" customWidth="1"/>
    <col min="3585" max="3585" width="13.875" style="97" bestFit="1" customWidth="1"/>
    <col min="3586" max="3586" width="17.25" style="97" bestFit="1" customWidth="1"/>
    <col min="3587" max="3588" width="20.5" style="97" bestFit="1" customWidth="1"/>
    <col min="3589" max="3589" width="0" style="97" hidden="1" customWidth="1"/>
    <col min="3590" max="3590" width="18.375" style="97" bestFit="1" customWidth="1"/>
    <col min="3591" max="3592" width="0" style="97" hidden="1" customWidth="1"/>
    <col min="3593" max="3836" width="9" style="97"/>
    <col min="3837" max="3837" width="6.625" style="97" customWidth="1"/>
    <col min="3838" max="3839" width="21.625" style="97" customWidth="1"/>
    <col min="3840" max="3840" width="16.125" style="97" bestFit="1" customWidth="1"/>
    <col min="3841" max="3841" width="13.875" style="97" bestFit="1" customWidth="1"/>
    <col min="3842" max="3842" width="17.25" style="97" bestFit="1" customWidth="1"/>
    <col min="3843" max="3844" width="20.5" style="97" bestFit="1" customWidth="1"/>
    <col min="3845" max="3845" width="0" style="97" hidden="1" customWidth="1"/>
    <col min="3846" max="3846" width="18.375" style="97" bestFit="1" customWidth="1"/>
    <col min="3847" max="3848" width="0" style="97" hidden="1" customWidth="1"/>
    <col min="3849" max="4092" width="9" style="97"/>
    <col min="4093" max="4093" width="6.625" style="97" customWidth="1"/>
    <col min="4094" max="4095" width="21.625" style="97" customWidth="1"/>
    <col min="4096" max="4096" width="16.125" style="97" bestFit="1" customWidth="1"/>
    <col min="4097" max="4097" width="13.875" style="97" bestFit="1" customWidth="1"/>
    <col min="4098" max="4098" width="17.25" style="97" bestFit="1" customWidth="1"/>
    <col min="4099" max="4100" width="20.5" style="97" bestFit="1" customWidth="1"/>
    <col min="4101" max="4101" width="0" style="97" hidden="1" customWidth="1"/>
    <col min="4102" max="4102" width="18.375" style="97" bestFit="1" customWidth="1"/>
    <col min="4103" max="4104" width="0" style="97" hidden="1" customWidth="1"/>
    <col min="4105" max="4348" width="9" style="97"/>
    <col min="4349" max="4349" width="6.625" style="97" customWidth="1"/>
    <col min="4350" max="4351" width="21.625" style="97" customWidth="1"/>
    <col min="4352" max="4352" width="16.125" style="97" bestFit="1" customWidth="1"/>
    <col min="4353" max="4353" width="13.875" style="97" bestFit="1" customWidth="1"/>
    <col min="4354" max="4354" width="17.25" style="97" bestFit="1" customWidth="1"/>
    <col min="4355" max="4356" width="20.5" style="97" bestFit="1" customWidth="1"/>
    <col min="4357" max="4357" width="0" style="97" hidden="1" customWidth="1"/>
    <col min="4358" max="4358" width="18.375" style="97" bestFit="1" customWidth="1"/>
    <col min="4359" max="4360" width="0" style="97" hidden="1" customWidth="1"/>
    <col min="4361" max="4604" width="9" style="97"/>
    <col min="4605" max="4605" width="6.625" style="97" customWidth="1"/>
    <col min="4606" max="4607" width="21.625" style="97" customWidth="1"/>
    <col min="4608" max="4608" width="16.125" style="97" bestFit="1" customWidth="1"/>
    <col min="4609" max="4609" width="13.875" style="97" bestFit="1" customWidth="1"/>
    <col min="4610" max="4610" width="17.25" style="97" bestFit="1" customWidth="1"/>
    <col min="4611" max="4612" width="20.5" style="97" bestFit="1" customWidth="1"/>
    <col min="4613" max="4613" width="0" style="97" hidden="1" customWidth="1"/>
    <col min="4614" max="4614" width="18.375" style="97" bestFit="1" customWidth="1"/>
    <col min="4615" max="4616" width="0" style="97" hidden="1" customWidth="1"/>
    <col min="4617" max="4860" width="9" style="97"/>
    <col min="4861" max="4861" width="6.625" style="97" customWidth="1"/>
    <col min="4862" max="4863" width="21.625" style="97" customWidth="1"/>
    <col min="4864" max="4864" width="16.125" style="97" bestFit="1" customWidth="1"/>
    <col min="4865" max="4865" width="13.875" style="97" bestFit="1" customWidth="1"/>
    <col min="4866" max="4866" width="17.25" style="97" bestFit="1" customWidth="1"/>
    <col min="4867" max="4868" width="20.5" style="97" bestFit="1" customWidth="1"/>
    <col min="4869" max="4869" width="0" style="97" hidden="1" customWidth="1"/>
    <col min="4870" max="4870" width="18.375" style="97" bestFit="1" customWidth="1"/>
    <col min="4871" max="4872" width="0" style="97" hidden="1" customWidth="1"/>
    <col min="4873" max="5116" width="9" style="97"/>
    <col min="5117" max="5117" width="6.625" style="97" customWidth="1"/>
    <col min="5118" max="5119" width="21.625" style="97" customWidth="1"/>
    <col min="5120" max="5120" width="16.125" style="97" bestFit="1" customWidth="1"/>
    <col min="5121" max="5121" width="13.875" style="97" bestFit="1" customWidth="1"/>
    <col min="5122" max="5122" width="17.25" style="97" bestFit="1" customWidth="1"/>
    <col min="5123" max="5124" width="20.5" style="97" bestFit="1" customWidth="1"/>
    <col min="5125" max="5125" width="0" style="97" hidden="1" customWidth="1"/>
    <col min="5126" max="5126" width="18.375" style="97" bestFit="1" customWidth="1"/>
    <col min="5127" max="5128" width="0" style="97" hidden="1" customWidth="1"/>
    <col min="5129" max="5372" width="9" style="97"/>
    <col min="5373" max="5373" width="6.625" style="97" customWidth="1"/>
    <col min="5374" max="5375" width="21.625" style="97" customWidth="1"/>
    <col min="5376" max="5376" width="16.125" style="97" bestFit="1" customWidth="1"/>
    <col min="5377" max="5377" width="13.875" style="97" bestFit="1" customWidth="1"/>
    <col min="5378" max="5378" width="17.25" style="97" bestFit="1" customWidth="1"/>
    <col min="5379" max="5380" width="20.5" style="97" bestFit="1" customWidth="1"/>
    <col min="5381" max="5381" width="0" style="97" hidden="1" customWidth="1"/>
    <col min="5382" max="5382" width="18.375" style="97" bestFit="1" customWidth="1"/>
    <col min="5383" max="5384" width="0" style="97" hidden="1" customWidth="1"/>
    <col min="5385" max="5628" width="9" style="97"/>
    <col min="5629" max="5629" width="6.625" style="97" customWidth="1"/>
    <col min="5630" max="5631" width="21.625" style="97" customWidth="1"/>
    <col min="5632" max="5632" width="16.125" style="97" bestFit="1" customWidth="1"/>
    <col min="5633" max="5633" width="13.875" style="97" bestFit="1" customWidth="1"/>
    <col min="5634" max="5634" width="17.25" style="97" bestFit="1" customWidth="1"/>
    <col min="5635" max="5636" width="20.5" style="97" bestFit="1" customWidth="1"/>
    <col min="5637" max="5637" width="0" style="97" hidden="1" customWidth="1"/>
    <col min="5638" max="5638" width="18.375" style="97" bestFit="1" customWidth="1"/>
    <col min="5639" max="5640" width="0" style="97" hidden="1" customWidth="1"/>
    <col min="5641" max="5884" width="9" style="97"/>
    <col min="5885" max="5885" width="6.625" style="97" customWidth="1"/>
    <col min="5886" max="5887" width="21.625" style="97" customWidth="1"/>
    <col min="5888" max="5888" width="16.125" style="97" bestFit="1" customWidth="1"/>
    <col min="5889" max="5889" width="13.875" style="97" bestFit="1" customWidth="1"/>
    <col min="5890" max="5890" width="17.25" style="97" bestFit="1" customWidth="1"/>
    <col min="5891" max="5892" width="20.5" style="97" bestFit="1" customWidth="1"/>
    <col min="5893" max="5893" width="0" style="97" hidden="1" customWidth="1"/>
    <col min="5894" max="5894" width="18.375" style="97" bestFit="1" customWidth="1"/>
    <col min="5895" max="5896" width="0" style="97" hidden="1" customWidth="1"/>
    <col min="5897" max="6140" width="9" style="97"/>
    <col min="6141" max="6141" width="6.625" style="97" customWidth="1"/>
    <col min="6142" max="6143" width="21.625" style="97" customWidth="1"/>
    <col min="6144" max="6144" width="16.125" style="97" bestFit="1" customWidth="1"/>
    <col min="6145" max="6145" width="13.875" style="97" bestFit="1" customWidth="1"/>
    <col min="6146" max="6146" width="17.25" style="97" bestFit="1" customWidth="1"/>
    <col min="6147" max="6148" width="20.5" style="97" bestFit="1" customWidth="1"/>
    <col min="6149" max="6149" width="0" style="97" hidden="1" customWidth="1"/>
    <col min="6150" max="6150" width="18.375" style="97" bestFit="1" customWidth="1"/>
    <col min="6151" max="6152" width="0" style="97" hidden="1" customWidth="1"/>
    <col min="6153" max="6396" width="9" style="97"/>
    <col min="6397" max="6397" width="6.625" style="97" customWidth="1"/>
    <col min="6398" max="6399" width="21.625" style="97" customWidth="1"/>
    <col min="6400" max="6400" width="16.125" style="97" bestFit="1" customWidth="1"/>
    <col min="6401" max="6401" width="13.875" style="97" bestFit="1" customWidth="1"/>
    <col min="6402" max="6402" width="17.25" style="97" bestFit="1" customWidth="1"/>
    <col min="6403" max="6404" width="20.5" style="97" bestFit="1" customWidth="1"/>
    <col min="6405" max="6405" width="0" style="97" hidden="1" customWidth="1"/>
    <col min="6406" max="6406" width="18.375" style="97" bestFit="1" customWidth="1"/>
    <col min="6407" max="6408" width="0" style="97" hidden="1" customWidth="1"/>
    <col min="6409" max="6652" width="9" style="97"/>
    <col min="6653" max="6653" width="6.625" style="97" customWidth="1"/>
    <col min="6654" max="6655" width="21.625" style="97" customWidth="1"/>
    <col min="6656" max="6656" width="16.125" style="97" bestFit="1" customWidth="1"/>
    <col min="6657" max="6657" width="13.875" style="97" bestFit="1" customWidth="1"/>
    <col min="6658" max="6658" width="17.25" style="97" bestFit="1" customWidth="1"/>
    <col min="6659" max="6660" width="20.5" style="97" bestFit="1" customWidth="1"/>
    <col min="6661" max="6661" width="0" style="97" hidden="1" customWidth="1"/>
    <col min="6662" max="6662" width="18.375" style="97" bestFit="1" customWidth="1"/>
    <col min="6663" max="6664" width="0" style="97" hidden="1" customWidth="1"/>
    <col min="6665" max="6908" width="9" style="97"/>
    <col min="6909" max="6909" width="6.625" style="97" customWidth="1"/>
    <col min="6910" max="6911" width="21.625" style="97" customWidth="1"/>
    <col min="6912" max="6912" width="16.125" style="97" bestFit="1" customWidth="1"/>
    <col min="6913" max="6913" width="13.875" style="97" bestFit="1" customWidth="1"/>
    <col min="6914" max="6914" width="17.25" style="97" bestFit="1" customWidth="1"/>
    <col min="6915" max="6916" width="20.5" style="97" bestFit="1" customWidth="1"/>
    <col min="6917" max="6917" width="0" style="97" hidden="1" customWidth="1"/>
    <col min="6918" max="6918" width="18.375" style="97" bestFit="1" customWidth="1"/>
    <col min="6919" max="6920" width="0" style="97" hidden="1" customWidth="1"/>
    <col min="6921" max="7164" width="9" style="97"/>
    <col min="7165" max="7165" width="6.625" style="97" customWidth="1"/>
    <col min="7166" max="7167" width="21.625" style="97" customWidth="1"/>
    <col min="7168" max="7168" width="16.125" style="97" bestFit="1" customWidth="1"/>
    <col min="7169" max="7169" width="13.875" style="97" bestFit="1" customWidth="1"/>
    <col min="7170" max="7170" width="17.25" style="97" bestFit="1" customWidth="1"/>
    <col min="7171" max="7172" width="20.5" style="97" bestFit="1" customWidth="1"/>
    <col min="7173" max="7173" width="0" style="97" hidden="1" customWidth="1"/>
    <col min="7174" max="7174" width="18.375" style="97" bestFit="1" customWidth="1"/>
    <col min="7175" max="7176" width="0" style="97" hidden="1" customWidth="1"/>
    <col min="7177" max="7420" width="9" style="97"/>
    <col min="7421" max="7421" width="6.625" style="97" customWidth="1"/>
    <col min="7422" max="7423" width="21.625" style="97" customWidth="1"/>
    <col min="7424" max="7424" width="16.125" style="97" bestFit="1" customWidth="1"/>
    <col min="7425" max="7425" width="13.875" style="97" bestFit="1" customWidth="1"/>
    <col min="7426" max="7426" width="17.25" style="97" bestFit="1" customWidth="1"/>
    <col min="7427" max="7428" width="20.5" style="97" bestFit="1" customWidth="1"/>
    <col min="7429" max="7429" width="0" style="97" hidden="1" customWidth="1"/>
    <col min="7430" max="7430" width="18.375" style="97" bestFit="1" customWidth="1"/>
    <col min="7431" max="7432" width="0" style="97" hidden="1" customWidth="1"/>
    <col min="7433" max="7676" width="9" style="97"/>
    <col min="7677" max="7677" width="6.625" style="97" customWidth="1"/>
    <col min="7678" max="7679" width="21.625" style="97" customWidth="1"/>
    <col min="7680" max="7680" width="16.125" style="97" bestFit="1" customWidth="1"/>
    <col min="7681" max="7681" width="13.875" style="97" bestFit="1" customWidth="1"/>
    <col min="7682" max="7682" width="17.25" style="97" bestFit="1" customWidth="1"/>
    <col min="7683" max="7684" width="20.5" style="97" bestFit="1" customWidth="1"/>
    <col min="7685" max="7685" width="0" style="97" hidden="1" customWidth="1"/>
    <col min="7686" max="7686" width="18.375" style="97" bestFit="1" customWidth="1"/>
    <col min="7687" max="7688" width="0" style="97" hidden="1" customWidth="1"/>
    <col min="7689" max="7932" width="9" style="97"/>
    <col min="7933" max="7933" width="6.625" style="97" customWidth="1"/>
    <col min="7934" max="7935" width="21.625" style="97" customWidth="1"/>
    <col min="7936" max="7936" width="16.125" style="97" bestFit="1" customWidth="1"/>
    <col min="7937" max="7937" width="13.875" style="97" bestFit="1" customWidth="1"/>
    <col min="7938" max="7938" width="17.25" style="97" bestFit="1" customWidth="1"/>
    <col min="7939" max="7940" width="20.5" style="97" bestFit="1" customWidth="1"/>
    <col min="7941" max="7941" width="0" style="97" hidden="1" customWidth="1"/>
    <col min="7942" max="7942" width="18.375" style="97" bestFit="1" customWidth="1"/>
    <col min="7943" max="7944" width="0" style="97" hidden="1" customWidth="1"/>
    <col min="7945" max="8188" width="9" style="97"/>
    <col min="8189" max="8189" width="6.625" style="97" customWidth="1"/>
    <col min="8190" max="8191" width="21.625" style="97" customWidth="1"/>
    <col min="8192" max="8192" width="16.125" style="97" bestFit="1" customWidth="1"/>
    <col min="8193" max="8193" width="13.875" style="97" bestFit="1" customWidth="1"/>
    <col min="8194" max="8194" width="17.25" style="97" bestFit="1" customWidth="1"/>
    <col min="8195" max="8196" width="20.5" style="97" bestFit="1" customWidth="1"/>
    <col min="8197" max="8197" width="0" style="97" hidden="1" customWidth="1"/>
    <col min="8198" max="8198" width="18.375" style="97" bestFit="1" customWidth="1"/>
    <col min="8199" max="8200" width="0" style="97" hidden="1" customWidth="1"/>
    <col min="8201" max="8444" width="9" style="97"/>
    <col min="8445" max="8445" width="6.625" style="97" customWidth="1"/>
    <col min="8446" max="8447" width="21.625" style="97" customWidth="1"/>
    <col min="8448" max="8448" width="16.125" style="97" bestFit="1" customWidth="1"/>
    <col min="8449" max="8449" width="13.875" style="97" bestFit="1" customWidth="1"/>
    <col min="8450" max="8450" width="17.25" style="97" bestFit="1" customWidth="1"/>
    <col min="8451" max="8452" width="20.5" style="97" bestFit="1" customWidth="1"/>
    <col min="8453" max="8453" width="0" style="97" hidden="1" customWidth="1"/>
    <col min="8454" max="8454" width="18.375" style="97" bestFit="1" customWidth="1"/>
    <col min="8455" max="8456" width="0" style="97" hidden="1" customWidth="1"/>
    <col min="8457" max="8700" width="9" style="97"/>
    <col min="8701" max="8701" width="6.625" style="97" customWidth="1"/>
    <col min="8702" max="8703" width="21.625" style="97" customWidth="1"/>
    <col min="8704" max="8704" width="16.125" style="97" bestFit="1" customWidth="1"/>
    <col min="8705" max="8705" width="13.875" style="97" bestFit="1" customWidth="1"/>
    <col min="8706" max="8706" width="17.25" style="97" bestFit="1" customWidth="1"/>
    <col min="8707" max="8708" width="20.5" style="97" bestFit="1" customWidth="1"/>
    <col min="8709" max="8709" width="0" style="97" hidden="1" customWidth="1"/>
    <col min="8710" max="8710" width="18.375" style="97" bestFit="1" customWidth="1"/>
    <col min="8711" max="8712" width="0" style="97" hidden="1" customWidth="1"/>
    <col min="8713" max="8956" width="9" style="97"/>
    <col min="8957" max="8957" width="6.625" style="97" customWidth="1"/>
    <col min="8958" max="8959" width="21.625" style="97" customWidth="1"/>
    <col min="8960" max="8960" width="16.125" style="97" bestFit="1" customWidth="1"/>
    <col min="8961" max="8961" width="13.875" style="97" bestFit="1" customWidth="1"/>
    <col min="8962" max="8962" width="17.25" style="97" bestFit="1" customWidth="1"/>
    <col min="8963" max="8964" width="20.5" style="97" bestFit="1" customWidth="1"/>
    <col min="8965" max="8965" width="0" style="97" hidden="1" customWidth="1"/>
    <col min="8966" max="8966" width="18.375" style="97" bestFit="1" customWidth="1"/>
    <col min="8967" max="8968" width="0" style="97" hidden="1" customWidth="1"/>
    <col min="8969" max="9212" width="9" style="97"/>
    <col min="9213" max="9213" width="6.625" style="97" customWidth="1"/>
    <col min="9214" max="9215" width="21.625" style="97" customWidth="1"/>
    <col min="9216" max="9216" width="16.125" style="97" bestFit="1" customWidth="1"/>
    <col min="9217" max="9217" width="13.875" style="97" bestFit="1" customWidth="1"/>
    <col min="9218" max="9218" width="17.25" style="97" bestFit="1" customWidth="1"/>
    <col min="9219" max="9220" width="20.5" style="97" bestFit="1" customWidth="1"/>
    <col min="9221" max="9221" width="0" style="97" hidden="1" customWidth="1"/>
    <col min="9222" max="9222" width="18.375" style="97" bestFit="1" customWidth="1"/>
    <col min="9223" max="9224" width="0" style="97" hidden="1" customWidth="1"/>
    <col min="9225" max="9468" width="9" style="97"/>
    <col min="9469" max="9469" width="6.625" style="97" customWidth="1"/>
    <col min="9470" max="9471" width="21.625" style="97" customWidth="1"/>
    <col min="9472" max="9472" width="16.125" style="97" bestFit="1" customWidth="1"/>
    <col min="9473" max="9473" width="13.875" style="97" bestFit="1" customWidth="1"/>
    <col min="9474" max="9474" width="17.25" style="97" bestFit="1" customWidth="1"/>
    <col min="9475" max="9476" width="20.5" style="97" bestFit="1" customWidth="1"/>
    <col min="9477" max="9477" width="0" style="97" hidden="1" customWidth="1"/>
    <col min="9478" max="9478" width="18.375" style="97" bestFit="1" customWidth="1"/>
    <col min="9479" max="9480" width="0" style="97" hidden="1" customWidth="1"/>
    <col min="9481" max="9724" width="9" style="97"/>
    <col min="9725" max="9725" width="6.625" style="97" customWidth="1"/>
    <col min="9726" max="9727" width="21.625" style="97" customWidth="1"/>
    <col min="9728" max="9728" width="16.125" style="97" bestFit="1" customWidth="1"/>
    <col min="9729" max="9729" width="13.875" style="97" bestFit="1" customWidth="1"/>
    <col min="9730" max="9730" width="17.25" style="97" bestFit="1" customWidth="1"/>
    <col min="9731" max="9732" width="20.5" style="97" bestFit="1" customWidth="1"/>
    <col min="9733" max="9733" width="0" style="97" hidden="1" customWidth="1"/>
    <col min="9734" max="9734" width="18.375" style="97" bestFit="1" customWidth="1"/>
    <col min="9735" max="9736" width="0" style="97" hidden="1" customWidth="1"/>
    <col min="9737" max="9980" width="9" style="97"/>
    <col min="9981" max="9981" width="6.625" style="97" customWidth="1"/>
    <col min="9982" max="9983" width="21.625" style="97" customWidth="1"/>
    <col min="9984" max="9984" width="16.125" style="97" bestFit="1" customWidth="1"/>
    <col min="9985" max="9985" width="13.875" style="97" bestFit="1" customWidth="1"/>
    <col min="9986" max="9986" width="17.25" style="97" bestFit="1" customWidth="1"/>
    <col min="9987" max="9988" width="20.5" style="97" bestFit="1" customWidth="1"/>
    <col min="9989" max="9989" width="0" style="97" hidden="1" customWidth="1"/>
    <col min="9990" max="9990" width="18.375" style="97" bestFit="1" customWidth="1"/>
    <col min="9991" max="9992" width="0" style="97" hidden="1" customWidth="1"/>
    <col min="9993" max="10236" width="9" style="97"/>
    <col min="10237" max="10237" width="6.625" style="97" customWidth="1"/>
    <col min="10238" max="10239" width="21.625" style="97" customWidth="1"/>
    <col min="10240" max="10240" width="16.125" style="97" bestFit="1" customWidth="1"/>
    <col min="10241" max="10241" width="13.875" style="97" bestFit="1" customWidth="1"/>
    <col min="10242" max="10242" width="17.25" style="97" bestFit="1" customWidth="1"/>
    <col min="10243" max="10244" width="20.5" style="97" bestFit="1" customWidth="1"/>
    <col min="10245" max="10245" width="0" style="97" hidden="1" customWidth="1"/>
    <col min="10246" max="10246" width="18.375" style="97" bestFit="1" customWidth="1"/>
    <col min="10247" max="10248" width="0" style="97" hidden="1" customWidth="1"/>
    <col min="10249" max="10492" width="9" style="97"/>
    <col min="10493" max="10493" width="6.625" style="97" customWidth="1"/>
    <col min="10494" max="10495" width="21.625" style="97" customWidth="1"/>
    <col min="10496" max="10496" width="16.125" style="97" bestFit="1" customWidth="1"/>
    <col min="10497" max="10497" width="13.875" style="97" bestFit="1" customWidth="1"/>
    <col min="10498" max="10498" width="17.25" style="97" bestFit="1" customWidth="1"/>
    <col min="10499" max="10500" width="20.5" style="97" bestFit="1" customWidth="1"/>
    <col min="10501" max="10501" width="0" style="97" hidden="1" customWidth="1"/>
    <col min="10502" max="10502" width="18.375" style="97" bestFit="1" customWidth="1"/>
    <col min="10503" max="10504" width="0" style="97" hidden="1" customWidth="1"/>
    <col min="10505" max="10748" width="9" style="97"/>
    <col min="10749" max="10749" width="6.625" style="97" customWidth="1"/>
    <col min="10750" max="10751" width="21.625" style="97" customWidth="1"/>
    <col min="10752" max="10752" width="16.125" style="97" bestFit="1" customWidth="1"/>
    <col min="10753" max="10753" width="13.875" style="97" bestFit="1" customWidth="1"/>
    <col min="10754" max="10754" width="17.25" style="97" bestFit="1" customWidth="1"/>
    <col min="10755" max="10756" width="20.5" style="97" bestFit="1" customWidth="1"/>
    <col min="10757" max="10757" width="0" style="97" hidden="1" customWidth="1"/>
    <col min="10758" max="10758" width="18.375" style="97" bestFit="1" customWidth="1"/>
    <col min="10759" max="10760" width="0" style="97" hidden="1" customWidth="1"/>
    <col min="10761" max="11004" width="9" style="97"/>
    <col min="11005" max="11005" width="6.625" style="97" customWidth="1"/>
    <col min="11006" max="11007" width="21.625" style="97" customWidth="1"/>
    <col min="11008" max="11008" width="16.125" style="97" bestFit="1" customWidth="1"/>
    <col min="11009" max="11009" width="13.875" style="97" bestFit="1" customWidth="1"/>
    <col min="11010" max="11010" width="17.25" style="97" bestFit="1" customWidth="1"/>
    <col min="11011" max="11012" width="20.5" style="97" bestFit="1" customWidth="1"/>
    <col min="11013" max="11013" width="0" style="97" hidden="1" customWidth="1"/>
    <col min="11014" max="11014" width="18.375" style="97" bestFit="1" customWidth="1"/>
    <col min="11015" max="11016" width="0" style="97" hidden="1" customWidth="1"/>
    <col min="11017" max="11260" width="9" style="97"/>
    <col min="11261" max="11261" width="6.625" style="97" customWidth="1"/>
    <col min="11262" max="11263" width="21.625" style="97" customWidth="1"/>
    <col min="11264" max="11264" width="16.125" style="97" bestFit="1" customWidth="1"/>
    <col min="11265" max="11265" width="13.875" style="97" bestFit="1" customWidth="1"/>
    <col min="11266" max="11266" width="17.25" style="97" bestFit="1" customWidth="1"/>
    <col min="11267" max="11268" width="20.5" style="97" bestFit="1" customWidth="1"/>
    <col min="11269" max="11269" width="0" style="97" hidden="1" customWidth="1"/>
    <col min="11270" max="11270" width="18.375" style="97" bestFit="1" customWidth="1"/>
    <col min="11271" max="11272" width="0" style="97" hidden="1" customWidth="1"/>
    <col min="11273" max="11516" width="9" style="97"/>
    <col min="11517" max="11517" width="6.625" style="97" customWidth="1"/>
    <col min="11518" max="11519" width="21.625" style="97" customWidth="1"/>
    <col min="11520" max="11520" width="16.125" style="97" bestFit="1" customWidth="1"/>
    <col min="11521" max="11521" width="13.875" style="97" bestFit="1" customWidth="1"/>
    <col min="11522" max="11522" width="17.25" style="97" bestFit="1" customWidth="1"/>
    <col min="11523" max="11524" width="20.5" style="97" bestFit="1" customWidth="1"/>
    <col min="11525" max="11525" width="0" style="97" hidden="1" customWidth="1"/>
    <col min="11526" max="11526" width="18.375" style="97" bestFit="1" customWidth="1"/>
    <col min="11527" max="11528" width="0" style="97" hidden="1" customWidth="1"/>
    <col min="11529" max="11772" width="9" style="97"/>
    <col min="11773" max="11773" width="6.625" style="97" customWidth="1"/>
    <col min="11774" max="11775" width="21.625" style="97" customWidth="1"/>
    <col min="11776" max="11776" width="16.125" style="97" bestFit="1" customWidth="1"/>
    <col min="11777" max="11777" width="13.875" style="97" bestFit="1" customWidth="1"/>
    <col min="11778" max="11778" width="17.25" style="97" bestFit="1" customWidth="1"/>
    <col min="11779" max="11780" width="20.5" style="97" bestFit="1" customWidth="1"/>
    <col min="11781" max="11781" width="0" style="97" hidden="1" customWidth="1"/>
    <col min="11782" max="11782" width="18.375" style="97" bestFit="1" customWidth="1"/>
    <col min="11783" max="11784" width="0" style="97" hidden="1" customWidth="1"/>
    <col min="11785" max="12028" width="9" style="97"/>
    <col min="12029" max="12029" width="6.625" style="97" customWidth="1"/>
    <col min="12030" max="12031" width="21.625" style="97" customWidth="1"/>
    <col min="12032" max="12032" width="16.125" style="97" bestFit="1" customWidth="1"/>
    <col min="12033" max="12033" width="13.875" style="97" bestFit="1" customWidth="1"/>
    <col min="12034" max="12034" width="17.25" style="97" bestFit="1" customWidth="1"/>
    <col min="12035" max="12036" width="20.5" style="97" bestFit="1" customWidth="1"/>
    <col min="12037" max="12037" width="0" style="97" hidden="1" customWidth="1"/>
    <col min="12038" max="12038" width="18.375" style="97" bestFit="1" customWidth="1"/>
    <col min="12039" max="12040" width="0" style="97" hidden="1" customWidth="1"/>
    <col min="12041" max="12284" width="9" style="97"/>
    <col min="12285" max="12285" width="6.625" style="97" customWidth="1"/>
    <col min="12286" max="12287" width="21.625" style="97" customWidth="1"/>
    <col min="12288" max="12288" width="16.125" style="97" bestFit="1" customWidth="1"/>
    <col min="12289" max="12289" width="13.875" style="97" bestFit="1" customWidth="1"/>
    <col min="12290" max="12290" width="17.25" style="97" bestFit="1" customWidth="1"/>
    <col min="12291" max="12292" width="20.5" style="97" bestFit="1" customWidth="1"/>
    <col min="12293" max="12293" width="0" style="97" hidden="1" customWidth="1"/>
    <col min="12294" max="12294" width="18.375" style="97" bestFit="1" customWidth="1"/>
    <col min="12295" max="12296" width="0" style="97" hidden="1" customWidth="1"/>
    <col min="12297" max="12540" width="9" style="97"/>
    <col min="12541" max="12541" width="6.625" style="97" customWidth="1"/>
    <col min="12542" max="12543" width="21.625" style="97" customWidth="1"/>
    <col min="12544" max="12544" width="16.125" style="97" bestFit="1" customWidth="1"/>
    <col min="12545" max="12545" width="13.875" style="97" bestFit="1" customWidth="1"/>
    <col min="12546" max="12546" width="17.25" style="97" bestFit="1" customWidth="1"/>
    <col min="12547" max="12548" width="20.5" style="97" bestFit="1" customWidth="1"/>
    <col min="12549" max="12549" width="0" style="97" hidden="1" customWidth="1"/>
    <col min="12550" max="12550" width="18.375" style="97" bestFit="1" customWidth="1"/>
    <col min="12551" max="12552" width="0" style="97" hidden="1" customWidth="1"/>
    <col min="12553" max="12796" width="9" style="97"/>
    <col min="12797" max="12797" width="6.625" style="97" customWidth="1"/>
    <col min="12798" max="12799" width="21.625" style="97" customWidth="1"/>
    <col min="12800" max="12800" width="16.125" style="97" bestFit="1" customWidth="1"/>
    <col min="12801" max="12801" width="13.875" style="97" bestFit="1" customWidth="1"/>
    <col min="12802" max="12802" width="17.25" style="97" bestFit="1" customWidth="1"/>
    <col min="12803" max="12804" width="20.5" style="97" bestFit="1" customWidth="1"/>
    <col min="12805" max="12805" width="0" style="97" hidden="1" customWidth="1"/>
    <col min="12806" max="12806" width="18.375" style="97" bestFit="1" customWidth="1"/>
    <col min="12807" max="12808" width="0" style="97" hidden="1" customWidth="1"/>
    <col min="12809" max="13052" width="9" style="97"/>
    <col min="13053" max="13053" width="6.625" style="97" customWidth="1"/>
    <col min="13054" max="13055" width="21.625" style="97" customWidth="1"/>
    <col min="13056" max="13056" width="16.125" style="97" bestFit="1" customWidth="1"/>
    <col min="13057" max="13057" width="13.875" style="97" bestFit="1" customWidth="1"/>
    <col min="13058" max="13058" width="17.25" style="97" bestFit="1" customWidth="1"/>
    <col min="13059" max="13060" width="20.5" style="97" bestFit="1" customWidth="1"/>
    <col min="13061" max="13061" width="0" style="97" hidden="1" customWidth="1"/>
    <col min="13062" max="13062" width="18.375" style="97" bestFit="1" customWidth="1"/>
    <col min="13063" max="13064" width="0" style="97" hidden="1" customWidth="1"/>
    <col min="13065" max="13308" width="9" style="97"/>
    <col min="13309" max="13309" width="6.625" style="97" customWidth="1"/>
    <col min="13310" max="13311" width="21.625" style="97" customWidth="1"/>
    <col min="13312" max="13312" width="16.125" style="97" bestFit="1" customWidth="1"/>
    <col min="13313" max="13313" width="13.875" style="97" bestFit="1" customWidth="1"/>
    <col min="13314" max="13314" width="17.25" style="97" bestFit="1" customWidth="1"/>
    <col min="13315" max="13316" width="20.5" style="97" bestFit="1" customWidth="1"/>
    <col min="13317" max="13317" width="0" style="97" hidden="1" customWidth="1"/>
    <col min="13318" max="13318" width="18.375" style="97" bestFit="1" customWidth="1"/>
    <col min="13319" max="13320" width="0" style="97" hidden="1" customWidth="1"/>
    <col min="13321" max="13564" width="9" style="97"/>
    <col min="13565" max="13565" width="6.625" style="97" customWidth="1"/>
    <col min="13566" max="13567" width="21.625" style="97" customWidth="1"/>
    <col min="13568" max="13568" width="16.125" style="97" bestFit="1" customWidth="1"/>
    <col min="13569" max="13569" width="13.875" style="97" bestFit="1" customWidth="1"/>
    <col min="13570" max="13570" width="17.25" style="97" bestFit="1" customWidth="1"/>
    <col min="13571" max="13572" width="20.5" style="97" bestFit="1" customWidth="1"/>
    <col min="13573" max="13573" width="0" style="97" hidden="1" customWidth="1"/>
    <col min="13574" max="13574" width="18.375" style="97" bestFit="1" customWidth="1"/>
    <col min="13575" max="13576" width="0" style="97" hidden="1" customWidth="1"/>
    <col min="13577" max="13820" width="9" style="97"/>
    <col min="13821" max="13821" width="6.625" style="97" customWidth="1"/>
    <col min="13822" max="13823" width="21.625" style="97" customWidth="1"/>
    <col min="13824" max="13824" width="16.125" style="97" bestFit="1" customWidth="1"/>
    <col min="13825" max="13825" width="13.875" style="97" bestFit="1" customWidth="1"/>
    <col min="13826" max="13826" width="17.25" style="97" bestFit="1" customWidth="1"/>
    <col min="13827" max="13828" width="20.5" style="97" bestFit="1" customWidth="1"/>
    <col min="13829" max="13829" width="0" style="97" hidden="1" customWidth="1"/>
    <col min="13830" max="13830" width="18.375" style="97" bestFit="1" customWidth="1"/>
    <col min="13831" max="13832" width="0" style="97" hidden="1" customWidth="1"/>
    <col min="13833" max="14076" width="9" style="97"/>
    <col min="14077" max="14077" width="6.625" style="97" customWidth="1"/>
    <col min="14078" max="14079" width="21.625" style="97" customWidth="1"/>
    <col min="14080" max="14080" width="16.125" style="97" bestFit="1" customWidth="1"/>
    <col min="14081" max="14081" width="13.875" style="97" bestFit="1" customWidth="1"/>
    <col min="14082" max="14082" width="17.25" style="97" bestFit="1" customWidth="1"/>
    <col min="14083" max="14084" width="20.5" style="97" bestFit="1" customWidth="1"/>
    <col min="14085" max="14085" width="0" style="97" hidden="1" customWidth="1"/>
    <col min="14086" max="14086" width="18.375" style="97" bestFit="1" customWidth="1"/>
    <col min="14087" max="14088" width="0" style="97" hidden="1" customWidth="1"/>
    <col min="14089" max="14332" width="9" style="97"/>
    <col min="14333" max="14333" width="6.625" style="97" customWidth="1"/>
    <col min="14334" max="14335" width="21.625" style="97" customWidth="1"/>
    <col min="14336" max="14336" width="16.125" style="97" bestFit="1" customWidth="1"/>
    <col min="14337" max="14337" width="13.875" style="97" bestFit="1" customWidth="1"/>
    <col min="14338" max="14338" width="17.25" style="97" bestFit="1" customWidth="1"/>
    <col min="14339" max="14340" width="20.5" style="97" bestFit="1" customWidth="1"/>
    <col min="14341" max="14341" width="0" style="97" hidden="1" customWidth="1"/>
    <col min="14342" max="14342" width="18.375" style="97" bestFit="1" customWidth="1"/>
    <col min="14343" max="14344" width="0" style="97" hidden="1" customWidth="1"/>
    <col min="14345" max="14588" width="9" style="97"/>
    <col min="14589" max="14589" width="6.625" style="97" customWidth="1"/>
    <col min="14590" max="14591" width="21.625" style="97" customWidth="1"/>
    <col min="14592" max="14592" width="16.125" style="97" bestFit="1" customWidth="1"/>
    <col min="14593" max="14593" width="13.875" style="97" bestFit="1" customWidth="1"/>
    <col min="14594" max="14594" width="17.25" style="97" bestFit="1" customWidth="1"/>
    <col min="14595" max="14596" width="20.5" style="97" bestFit="1" customWidth="1"/>
    <col min="14597" max="14597" width="0" style="97" hidden="1" customWidth="1"/>
    <col min="14598" max="14598" width="18.375" style="97" bestFit="1" customWidth="1"/>
    <col min="14599" max="14600" width="0" style="97" hidden="1" customWidth="1"/>
    <col min="14601" max="14844" width="9" style="97"/>
    <col min="14845" max="14845" width="6.625" style="97" customWidth="1"/>
    <col min="14846" max="14847" width="21.625" style="97" customWidth="1"/>
    <col min="14848" max="14848" width="16.125" style="97" bestFit="1" customWidth="1"/>
    <col min="14849" max="14849" width="13.875" style="97" bestFit="1" customWidth="1"/>
    <col min="14850" max="14850" width="17.25" style="97" bestFit="1" customWidth="1"/>
    <col min="14851" max="14852" width="20.5" style="97" bestFit="1" customWidth="1"/>
    <col min="14853" max="14853" width="0" style="97" hidden="1" customWidth="1"/>
    <col min="14854" max="14854" width="18.375" style="97" bestFit="1" customWidth="1"/>
    <col min="14855" max="14856" width="0" style="97" hidden="1" customWidth="1"/>
    <col min="14857" max="15100" width="9" style="97"/>
    <col min="15101" max="15101" width="6.625" style="97" customWidth="1"/>
    <col min="15102" max="15103" width="21.625" style="97" customWidth="1"/>
    <col min="15104" max="15104" width="16.125" style="97" bestFit="1" customWidth="1"/>
    <col min="15105" max="15105" width="13.875" style="97" bestFit="1" customWidth="1"/>
    <col min="15106" max="15106" width="17.25" style="97" bestFit="1" customWidth="1"/>
    <col min="15107" max="15108" width="20.5" style="97" bestFit="1" customWidth="1"/>
    <col min="15109" max="15109" width="0" style="97" hidden="1" customWidth="1"/>
    <col min="15110" max="15110" width="18.375" style="97" bestFit="1" customWidth="1"/>
    <col min="15111" max="15112" width="0" style="97" hidden="1" customWidth="1"/>
    <col min="15113" max="15356" width="9" style="97"/>
    <col min="15357" max="15357" width="6.625" style="97" customWidth="1"/>
    <col min="15358" max="15359" width="21.625" style="97" customWidth="1"/>
    <col min="15360" max="15360" width="16.125" style="97" bestFit="1" customWidth="1"/>
    <col min="15361" max="15361" width="13.875" style="97" bestFit="1" customWidth="1"/>
    <col min="15362" max="15362" width="17.25" style="97" bestFit="1" customWidth="1"/>
    <col min="15363" max="15364" width="20.5" style="97" bestFit="1" customWidth="1"/>
    <col min="15365" max="15365" width="0" style="97" hidden="1" customWidth="1"/>
    <col min="15366" max="15366" width="18.375" style="97" bestFit="1" customWidth="1"/>
    <col min="15367" max="15368" width="0" style="97" hidden="1" customWidth="1"/>
    <col min="15369" max="15612" width="9" style="97"/>
    <col min="15613" max="15613" width="6.625" style="97" customWidth="1"/>
    <col min="15614" max="15615" width="21.625" style="97" customWidth="1"/>
    <col min="15616" max="15616" width="16.125" style="97" bestFit="1" customWidth="1"/>
    <col min="15617" max="15617" width="13.875" style="97" bestFit="1" customWidth="1"/>
    <col min="15618" max="15618" width="17.25" style="97" bestFit="1" customWidth="1"/>
    <col min="15619" max="15620" width="20.5" style="97" bestFit="1" customWidth="1"/>
    <col min="15621" max="15621" width="0" style="97" hidden="1" customWidth="1"/>
    <col min="15622" max="15622" width="18.375" style="97" bestFit="1" customWidth="1"/>
    <col min="15623" max="15624" width="0" style="97" hidden="1" customWidth="1"/>
    <col min="15625" max="15868" width="9" style="97"/>
    <col min="15869" max="15869" width="6.625" style="97" customWidth="1"/>
    <col min="15870" max="15871" width="21.625" style="97" customWidth="1"/>
    <col min="15872" max="15872" width="16.125" style="97" bestFit="1" customWidth="1"/>
    <col min="15873" max="15873" width="13.875" style="97" bestFit="1" customWidth="1"/>
    <col min="15874" max="15874" width="17.25" style="97" bestFit="1" customWidth="1"/>
    <col min="15875" max="15876" width="20.5" style="97" bestFit="1" customWidth="1"/>
    <col min="15877" max="15877" width="0" style="97" hidden="1" customWidth="1"/>
    <col min="15878" max="15878" width="18.375" style="97" bestFit="1" customWidth="1"/>
    <col min="15879" max="15880" width="0" style="97" hidden="1" customWidth="1"/>
    <col min="15881" max="16124" width="9" style="97"/>
    <col min="16125" max="16125" width="6.625" style="97" customWidth="1"/>
    <col min="16126" max="16127" width="21.625" style="97" customWidth="1"/>
    <col min="16128" max="16128" width="16.125" style="97" bestFit="1" customWidth="1"/>
    <col min="16129" max="16129" width="13.875" style="97" bestFit="1" customWidth="1"/>
    <col min="16130" max="16130" width="17.25" style="97" bestFit="1" customWidth="1"/>
    <col min="16131" max="16132" width="20.5" style="97" bestFit="1" customWidth="1"/>
    <col min="16133" max="16133" width="0" style="97" hidden="1" customWidth="1"/>
    <col min="16134" max="16134" width="18.375" style="97" bestFit="1" customWidth="1"/>
    <col min="16135" max="16136" width="0" style="97" hidden="1" customWidth="1"/>
    <col min="16137" max="16384" width="9" style="97"/>
  </cols>
  <sheetData>
    <row r="1" spans="1:3" ht="20.25">
      <c r="A1" s="172" t="s">
        <v>354</v>
      </c>
      <c r="B1" s="173"/>
      <c r="C1" s="173"/>
    </row>
    <row r="2" spans="1:3" ht="35.1" customHeight="1">
      <c r="A2" s="174" t="s">
        <v>355</v>
      </c>
      <c r="B2" s="175"/>
      <c r="C2" s="165" t="s">
        <v>356</v>
      </c>
    </row>
    <row r="3" spans="1:3" ht="30" customHeight="1">
      <c r="A3" s="166" t="s">
        <v>357</v>
      </c>
      <c r="B3" s="166" t="s">
        <v>358</v>
      </c>
      <c r="C3" s="167" t="s">
        <v>193</v>
      </c>
    </row>
    <row r="4" spans="1:3" ht="30" customHeight="1">
      <c r="A4" s="166">
        <v>1</v>
      </c>
      <c r="B4" s="166" t="s">
        <v>359</v>
      </c>
      <c r="C4" s="168">
        <f>莘庄基本支出!J4+'2023年绩效清算'!Q9</f>
        <v>94833656.980000004</v>
      </c>
    </row>
    <row r="5" spans="1:3" ht="30" customHeight="1">
      <c r="A5" s="166">
        <v>2</v>
      </c>
      <c r="B5" s="166" t="s">
        <v>360</v>
      </c>
      <c r="C5" s="168">
        <f>莘庄基本支出!J38</f>
        <v>15200100.08</v>
      </c>
    </row>
    <row r="6" spans="1:3" ht="30" customHeight="1">
      <c r="A6" s="166">
        <v>3</v>
      </c>
      <c r="B6" s="166" t="s">
        <v>361</v>
      </c>
      <c r="C6" s="168">
        <f>莘庄基本支出!J31</f>
        <v>1980470</v>
      </c>
    </row>
    <row r="7" spans="1:3" ht="30" customHeight="1">
      <c r="A7" s="166">
        <v>4</v>
      </c>
      <c r="B7" s="166" t="s">
        <v>362</v>
      </c>
      <c r="C7" s="168">
        <f>社区教育!C3</f>
        <v>900303</v>
      </c>
    </row>
    <row r="8" spans="1:3" ht="30" customHeight="1">
      <c r="A8" s="166">
        <v>5</v>
      </c>
      <c r="B8" s="166" t="s">
        <v>363</v>
      </c>
      <c r="C8" s="168">
        <f>[1]社区教育志愿者联盟!C4</f>
        <v>40000</v>
      </c>
    </row>
    <row r="9" spans="1:3" ht="30" customHeight="1">
      <c r="A9" s="166">
        <v>6</v>
      </c>
      <c r="B9" s="166" t="s">
        <v>345</v>
      </c>
      <c r="C9" s="168">
        <f>残疾就业保障!D8</f>
        <v>880067.31</v>
      </c>
    </row>
    <row r="10" spans="1:3" ht="30" customHeight="1">
      <c r="A10" s="166">
        <v>7</v>
      </c>
      <c r="B10" s="166" t="s">
        <v>364</v>
      </c>
      <c r="C10" s="168">
        <f>补充公用经费!AO8+清算补充公用经费!I4</f>
        <v>9434464</v>
      </c>
    </row>
    <row r="11" spans="1:3" ht="30" customHeight="1">
      <c r="A11" s="166">
        <v>8</v>
      </c>
      <c r="B11" s="169" t="s">
        <v>365</v>
      </c>
      <c r="C11" s="168">
        <f>公办义务教育减免书薄费!I4</f>
        <v>602730</v>
      </c>
    </row>
    <row r="12" spans="1:3" ht="30" customHeight="1">
      <c r="A12" s="166">
        <v>9</v>
      </c>
      <c r="B12" s="169" t="s">
        <v>366</v>
      </c>
      <c r="C12" s="168">
        <f>公办义务教育营养午餐!E5</f>
        <v>205200</v>
      </c>
    </row>
    <row r="13" spans="1:3" ht="30" customHeight="1">
      <c r="A13" s="166">
        <v>10</v>
      </c>
      <c r="B13" s="169" t="s">
        <v>367</v>
      </c>
      <c r="C13" s="168">
        <f>公办义务教育资助!L7</f>
        <v>111149</v>
      </c>
    </row>
    <row r="14" spans="1:3" ht="30" customHeight="1">
      <c r="A14" s="166">
        <v>11</v>
      </c>
      <c r="B14" s="166" t="s">
        <v>368</v>
      </c>
      <c r="C14" s="168">
        <f>公办学前资助!N7</f>
        <v>11442</v>
      </c>
    </row>
    <row r="15" spans="1:3" ht="30" customHeight="1">
      <c r="A15" s="166">
        <v>12</v>
      </c>
      <c r="B15" s="166" t="s">
        <v>370</v>
      </c>
      <c r="C15" s="168">
        <f>莘庄维修!K35</f>
        <v>723011</v>
      </c>
    </row>
    <row r="16" spans="1:3" ht="30" customHeight="1">
      <c r="A16" s="166"/>
      <c r="B16" s="166" t="s">
        <v>369</v>
      </c>
      <c r="C16" s="170">
        <f>SUM(C4:C15)</f>
        <v>124922593.37</v>
      </c>
    </row>
    <row r="17" ht="30" customHeight="1"/>
    <row r="18" ht="30" customHeight="1"/>
  </sheetData>
  <mergeCells count="2">
    <mergeCell ref="A1:C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pane xSplit="4" ySplit="2" topLeftCell="E18" activePane="bottomRight" state="frozen"/>
      <selection activeCell="A2" sqref="A2:XFD73"/>
      <selection pane="topRight" activeCell="A2" sqref="A2:XFD73"/>
      <selection pane="bottomLeft" activeCell="A2" sqref="A2:XFD73"/>
      <selection pane="bottomRight" activeCell="A2" sqref="A2:XFD73"/>
    </sheetView>
  </sheetViews>
  <sheetFormatPr defaultRowHeight="11.25"/>
  <cols>
    <col min="1" max="1" width="9" style="41"/>
    <col min="2" max="2" width="23.625" style="1" customWidth="1"/>
    <col min="3" max="3" width="11.5" style="1" customWidth="1"/>
    <col min="4" max="4" width="18.625" style="42" customWidth="1"/>
    <col min="5" max="5" width="16.875" style="1" customWidth="1"/>
    <col min="6" max="7" width="16" style="1" customWidth="1"/>
    <col min="8" max="8" width="17.125" style="1" customWidth="1"/>
    <col min="9" max="9" width="14.75" style="1" customWidth="1"/>
    <col min="10" max="10" width="16.5" style="1" customWidth="1"/>
    <col min="11" max="11" width="12.125" style="1" customWidth="1"/>
    <col min="12" max="16384" width="9" style="1"/>
  </cols>
  <sheetData>
    <row r="1" spans="1:11" ht="25.5">
      <c r="A1" s="176" t="s">
        <v>295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</row>
    <row r="2" spans="1:11" ht="18" customHeight="1">
      <c r="A2" s="2" t="s">
        <v>3</v>
      </c>
      <c r="B2" s="2" t="s">
        <v>4</v>
      </c>
      <c r="C2" s="2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  <c r="K2" s="4" t="s">
        <v>13</v>
      </c>
    </row>
    <row r="3" spans="1:11" ht="18" customHeight="1">
      <c r="A3" s="5" t="s">
        <v>14</v>
      </c>
      <c r="B3" s="6" t="s">
        <v>15</v>
      </c>
      <c r="C3" s="6"/>
      <c r="D3" s="7" t="s">
        <v>16</v>
      </c>
      <c r="E3" s="8">
        <f>E4+E31+E38</f>
        <v>26536179.619999997</v>
      </c>
      <c r="F3" s="8">
        <f>F4+F31+F38</f>
        <v>18061468.170000002</v>
      </c>
      <c r="G3" s="8">
        <f>G4+G31+G38</f>
        <v>10135036.75</v>
      </c>
      <c r="H3" s="8">
        <f>H4+H31+H38</f>
        <v>2599846.7100000004</v>
      </c>
      <c r="I3" s="8">
        <f>I4+I31+I38</f>
        <v>57911241.810000002</v>
      </c>
      <c r="J3" s="8">
        <f t="shared" ref="J3:J66" si="0">SUM(E3:I3)</f>
        <v>115243773.06</v>
      </c>
      <c r="K3" s="9"/>
    </row>
    <row r="4" spans="1:11" ht="18" customHeight="1">
      <c r="A4" s="5" t="s">
        <v>17</v>
      </c>
      <c r="B4" s="6" t="s">
        <v>0</v>
      </c>
      <c r="C4" s="6"/>
      <c r="D4" s="7" t="s">
        <v>16</v>
      </c>
      <c r="E4" s="8">
        <f>E5+E8+E12+E15+E20+E25+E27+E29+E30</f>
        <v>23190170.719999999</v>
      </c>
      <c r="F4" s="8">
        <f>F5+F8+F12+F15+F20+F25+F27+F29+F30</f>
        <v>15357386.32</v>
      </c>
      <c r="G4" s="8">
        <f>G5+G8+G12+G15+G20+G25+G27+G29+G30</f>
        <v>8841872.8599999994</v>
      </c>
      <c r="H4" s="8">
        <f>H5+H8+H12+H15+H20+H25+H27+H29+H30</f>
        <v>2229275.2800000003</v>
      </c>
      <c r="I4" s="8">
        <f>I5+I8+I12+I15+I20+I25+I27+I29+I30</f>
        <v>48444497.800000004</v>
      </c>
      <c r="J4" s="8">
        <f t="shared" si="0"/>
        <v>98063202.980000004</v>
      </c>
      <c r="K4" s="9"/>
    </row>
    <row r="5" spans="1:11" ht="18" customHeight="1">
      <c r="A5" s="5" t="s">
        <v>18</v>
      </c>
      <c r="B5" s="6" t="s">
        <v>19</v>
      </c>
      <c r="C5" s="6"/>
      <c r="D5" s="7" t="s">
        <v>16</v>
      </c>
      <c r="E5" s="8">
        <f>E6+E7</f>
        <v>2996712</v>
      </c>
      <c r="F5" s="8">
        <f>F6+F7</f>
        <v>1850328</v>
      </c>
      <c r="G5" s="8">
        <f>G6+G7</f>
        <v>1049292</v>
      </c>
      <c r="H5" s="8">
        <f>H6+H7</f>
        <v>310344</v>
      </c>
      <c r="I5" s="8">
        <f>I6+I7</f>
        <v>6650000</v>
      </c>
      <c r="J5" s="8">
        <f t="shared" si="0"/>
        <v>12856676</v>
      </c>
      <c r="K5" s="9"/>
    </row>
    <row r="6" spans="1:11" ht="18" customHeight="1">
      <c r="A6" s="5" t="s">
        <v>20</v>
      </c>
      <c r="B6" s="6" t="s">
        <v>21</v>
      </c>
      <c r="C6" s="6" t="s">
        <v>22</v>
      </c>
      <c r="D6" s="7" t="s">
        <v>23</v>
      </c>
      <c r="E6" s="10">
        <v>1760496</v>
      </c>
      <c r="F6" s="10">
        <v>1137300</v>
      </c>
      <c r="G6" s="10">
        <v>696240</v>
      </c>
      <c r="H6" s="10">
        <v>161832</v>
      </c>
      <c r="I6" s="10">
        <v>3350000</v>
      </c>
      <c r="J6" s="8">
        <f t="shared" si="0"/>
        <v>7105868</v>
      </c>
      <c r="K6" s="11"/>
    </row>
    <row r="7" spans="1:11" ht="18" customHeight="1">
      <c r="A7" s="5" t="s">
        <v>24</v>
      </c>
      <c r="B7" s="6" t="s">
        <v>25</v>
      </c>
      <c r="C7" s="6" t="s">
        <v>22</v>
      </c>
      <c r="D7" s="7" t="s">
        <v>23</v>
      </c>
      <c r="E7" s="10">
        <v>1236216</v>
      </c>
      <c r="F7" s="10">
        <v>713028</v>
      </c>
      <c r="G7" s="10">
        <v>353052</v>
      </c>
      <c r="H7" s="10">
        <v>148512</v>
      </c>
      <c r="I7" s="10">
        <v>3300000</v>
      </c>
      <c r="J7" s="8">
        <f t="shared" si="0"/>
        <v>5750808</v>
      </c>
      <c r="K7" s="9"/>
    </row>
    <row r="8" spans="1:11" ht="18" customHeight="1">
      <c r="A8" s="5" t="s">
        <v>26</v>
      </c>
      <c r="B8" s="6" t="s">
        <v>27</v>
      </c>
      <c r="C8" s="6"/>
      <c r="D8" s="7" t="s">
        <v>16</v>
      </c>
      <c r="E8" s="8">
        <f>E9+E10</f>
        <v>363768</v>
      </c>
      <c r="F8" s="8">
        <f>F9+F10</f>
        <v>245304</v>
      </c>
      <c r="G8" s="8">
        <f>G9+G10</f>
        <v>144024</v>
      </c>
      <c r="H8" s="8">
        <f>H9+H10</f>
        <v>32196</v>
      </c>
      <c r="I8" s="8">
        <f>I9+I10</f>
        <v>649320</v>
      </c>
      <c r="J8" s="8">
        <f t="shared" si="0"/>
        <v>1434612</v>
      </c>
      <c r="K8" s="9"/>
    </row>
    <row r="9" spans="1:11" ht="18" customHeight="1">
      <c r="A9" s="5" t="s">
        <v>28</v>
      </c>
      <c r="B9" s="6" t="s">
        <v>29</v>
      </c>
      <c r="C9" s="6" t="s">
        <v>22</v>
      </c>
      <c r="D9" s="7" t="s">
        <v>23</v>
      </c>
      <c r="E9" s="10">
        <v>4728</v>
      </c>
      <c r="F9" s="10">
        <v>2424</v>
      </c>
      <c r="G9" s="10">
        <v>1464</v>
      </c>
      <c r="H9" s="10">
        <v>516</v>
      </c>
      <c r="I9" s="10">
        <v>21000</v>
      </c>
      <c r="J9" s="8">
        <f t="shared" si="0"/>
        <v>30132</v>
      </c>
      <c r="K9" s="9"/>
    </row>
    <row r="10" spans="1:11" ht="18" customHeight="1">
      <c r="A10" s="5" t="s">
        <v>30</v>
      </c>
      <c r="B10" s="6" t="s">
        <v>31</v>
      </c>
      <c r="C10" s="6"/>
      <c r="D10" s="7" t="s">
        <v>16</v>
      </c>
      <c r="E10" s="8">
        <f>E11</f>
        <v>359040</v>
      </c>
      <c r="F10" s="8">
        <f>F11</f>
        <v>242880</v>
      </c>
      <c r="G10" s="8">
        <f>G11</f>
        <v>142560</v>
      </c>
      <c r="H10" s="8">
        <f>H11</f>
        <v>31680</v>
      </c>
      <c r="I10" s="8">
        <f>I11</f>
        <v>628320</v>
      </c>
      <c r="J10" s="8">
        <f t="shared" si="0"/>
        <v>1404480</v>
      </c>
      <c r="K10" s="9"/>
    </row>
    <row r="11" spans="1:11" s="13" customFormat="1" ht="18" customHeight="1">
      <c r="A11" s="5" t="s">
        <v>32</v>
      </c>
      <c r="B11" s="12" t="s">
        <v>33</v>
      </c>
      <c r="C11" s="12" t="s">
        <v>22</v>
      </c>
      <c r="D11" s="9" t="s">
        <v>16</v>
      </c>
      <c r="E11" s="8">
        <f>440*12*E61</f>
        <v>359040</v>
      </c>
      <c r="F11" s="8">
        <f>440*12*F61</f>
        <v>242880</v>
      </c>
      <c r="G11" s="8">
        <f>440*12*G61</f>
        <v>142560</v>
      </c>
      <c r="H11" s="8">
        <f>440*12*H61</f>
        <v>31680</v>
      </c>
      <c r="I11" s="8">
        <f>440*12*I61</f>
        <v>628320</v>
      </c>
      <c r="J11" s="8">
        <f t="shared" si="0"/>
        <v>1404480</v>
      </c>
      <c r="K11" s="9"/>
    </row>
    <row r="12" spans="1:11" ht="18" customHeight="1">
      <c r="A12" s="5" t="s">
        <v>34</v>
      </c>
      <c r="B12" s="6" t="s">
        <v>35</v>
      </c>
      <c r="C12" s="6"/>
      <c r="D12" s="7" t="s">
        <v>36</v>
      </c>
      <c r="E12" s="8">
        <f>E13+E14</f>
        <v>113490.72</v>
      </c>
      <c r="F12" s="8">
        <f>F13+F14</f>
        <v>74254.320000000007</v>
      </c>
      <c r="G12" s="8">
        <f>G13+G14</f>
        <v>41345.42</v>
      </c>
      <c r="H12" s="8">
        <f>H13+H14</f>
        <v>11178.14</v>
      </c>
      <c r="I12" s="8">
        <f>I13+I14</f>
        <v>252569.24</v>
      </c>
      <c r="J12" s="8">
        <f t="shared" si="0"/>
        <v>492837.84</v>
      </c>
      <c r="K12" s="9"/>
    </row>
    <row r="13" spans="1:11" s="44" customFormat="1" ht="18" customHeight="1">
      <c r="A13" s="14" t="s">
        <v>37</v>
      </c>
      <c r="B13" s="43" t="s">
        <v>38</v>
      </c>
      <c r="C13" s="43" t="s">
        <v>22</v>
      </c>
      <c r="D13" s="26" t="s">
        <v>39</v>
      </c>
      <c r="E13" s="18">
        <f>ROUND(E29/0.07*0.00256,2)</f>
        <v>38430.720000000001</v>
      </c>
      <c r="F13" s="18">
        <f>ROUND(F29/0.07*0.00256,2)</f>
        <v>25144.32</v>
      </c>
      <c r="G13" s="18">
        <f>ROUND(G29/0.07*0.00256,2)</f>
        <v>14000.42</v>
      </c>
      <c r="H13" s="18">
        <f>ROUND(H29/0.07*0.00256,2)</f>
        <v>3785.14</v>
      </c>
      <c r="I13" s="18">
        <f>ROUND(I29/0.07*0.00256,2)</f>
        <v>85526.24</v>
      </c>
      <c r="J13" s="18">
        <f t="shared" si="0"/>
        <v>166886.84000000003</v>
      </c>
      <c r="K13" s="26"/>
    </row>
    <row r="14" spans="1:11" s="44" customFormat="1" ht="18" customHeight="1">
      <c r="A14" s="14" t="s">
        <v>40</v>
      </c>
      <c r="B14" s="43" t="s">
        <v>41</v>
      </c>
      <c r="C14" s="43" t="s">
        <v>22</v>
      </c>
      <c r="D14" s="26" t="s">
        <v>39</v>
      </c>
      <c r="E14" s="18">
        <f>ROUND(E29/0.07*0.005,0)</f>
        <v>75060</v>
      </c>
      <c r="F14" s="18">
        <f>ROUND(F29/0.07*0.005,0)</f>
        <v>49110</v>
      </c>
      <c r="G14" s="18">
        <f>ROUND(G29/0.07*0.005,0)</f>
        <v>27345</v>
      </c>
      <c r="H14" s="18">
        <f>ROUND(H29/0.07*0.005,0)</f>
        <v>7393</v>
      </c>
      <c r="I14" s="18">
        <f>ROUND(I29/0.07*0.005,0)</f>
        <v>167043</v>
      </c>
      <c r="J14" s="18">
        <f t="shared" si="0"/>
        <v>325951</v>
      </c>
      <c r="K14" s="26"/>
    </row>
    <row r="15" spans="1:11" s="19" customFormat="1" ht="18" customHeight="1">
      <c r="A15" s="14" t="s">
        <v>42</v>
      </c>
      <c r="B15" s="24" t="s">
        <v>43</v>
      </c>
      <c r="C15" s="24"/>
      <c r="D15" s="45" t="s">
        <v>16</v>
      </c>
      <c r="E15" s="18">
        <f>E16+E17+E18+E19</f>
        <v>12960800</v>
      </c>
      <c r="F15" s="18">
        <f>F16+F17+F18+F19</f>
        <v>8767600</v>
      </c>
      <c r="G15" s="18">
        <f>G16+G17+G18+G19</f>
        <v>5146200</v>
      </c>
      <c r="H15" s="18">
        <f>H16+H17+H18+H19</f>
        <v>1210200</v>
      </c>
      <c r="I15" s="18">
        <f>I16+I17+I18+I19</f>
        <v>25858700</v>
      </c>
      <c r="J15" s="18">
        <f t="shared" si="0"/>
        <v>53943500</v>
      </c>
      <c r="K15" s="26"/>
    </row>
    <row r="16" spans="1:11" s="19" customFormat="1" ht="18" customHeight="1">
      <c r="A16" s="14" t="s">
        <v>44</v>
      </c>
      <c r="B16" s="15" t="s">
        <v>45</v>
      </c>
      <c r="C16" s="15" t="s">
        <v>22</v>
      </c>
      <c r="D16" s="16" t="s">
        <v>46</v>
      </c>
      <c r="E16" s="17">
        <v>12026236</v>
      </c>
      <c r="F16" s="17">
        <v>8181536</v>
      </c>
      <c r="G16" s="17">
        <v>4984200</v>
      </c>
      <c r="H16" s="17">
        <v>1174200</v>
      </c>
      <c r="I16" s="17">
        <v>23262216</v>
      </c>
      <c r="J16" s="18">
        <f t="shared" si="0"/>
        <v>49628388</v>
      </c>
      <c r="K16" s="16"/>
    </row>
    <row r="17" spans="1:11" s="19" customFormat="1" ht="18" customHeight="1">
      <c r="A17" s="14" t="s">
        <v>47</v>
      </c>
      <c r="B17" s="15" t="s">
        <v>48</v>
      </c>
      <c r="C17" s="15" t="s">
        <v>22</v>
      </c>
      <c r="D17" s="16" t="s">
        <v>49</v>
      </c>
      <c r="E17" s="17">
        <v>526564</v>
      </c>
      <c r="F17" s="17">
        <v>310064</v>
      </c>
      <c r="G17" s="17"/>
      <c r="H17" s="17"/>
      <c r="I17" s="17">
        <v>692484</v>
      </c>
      <c r="J17" s="18">
        <f t="shared" si="0"/>
        <v>1529112</v>
      </c>
      <c r="K17" s="16"/>
    </row>
    <row r="18" spans="1:11" ht="18" customHeight="1">
      <c r="A18" s="5" t="s">
        <v>50</v>
      </c>
      <c r="B18" s="20" t="s">
        <v>51</v>
      </c>
      <c r="C18" s="20" t="s">
        <v>22</v>
      </c>
      <c r="D18" s="7" t="s">
        <v>16</v>
      </c>
      <c r="E18" s="21">
        <f>E61*500*12</f>
        <v>408000</v>
      </c>
      <c r="F18" s="21">
        <f>F61*500*12</f>
        <v>276000</v>
      </c>
      <c r="G18" s="21">
        <f>G61*500*12</f>
        <v>162000</v>
      </c>
      <c r="H18" s="21">
        <f>H61*500*12</f>
        <v>36000</v>
      </c>
      <c r="I18" s="21">
        <f>I61*500*12</f>
        <v>714000</v>
      </c>
      <c r="J18" s="8">
        <f t="shared" si="0"/>
        <v>1596000</v>
      </c>
      <c r="K18" s="22"/>
    </row>
    <row r="19" spans="1:11" ht="18" customHeight="1">
      <c r="A19" s="5" t="s">
        <v>52</v>
      </c>
      <c r="B19" s="20" t="s">
        <v>53</v>
      </c>
      <c r="C19" s="20" t="s">
        <v>22</v>
      </c>
      <c r="D19" s="7" t="s">
        <v>23</v>
      </c>
      <c r="E19" s="23"/>
      <c r="F19" s="23"/>
      <c r="G19" s="23"/>
      <c r="H19" s="23"/>
      <c r="I19" s="23">
        <f>10000*I61</f>
        <v>1190000</v>
      </c>
      <c r="J19" s="8">
        <f t="shared" si="0"/>
        <v>1190000</v>
      </c>
      <c r="K19" s="22"/>
    </row>
    <row r="20" spans="1:11" ht="18" customHeight="1">
      <c r="A20" s="5" t="s">
        <v>54</v>
      </c>
      <c r="B20" s="6" t="s">
        <v>55</v>
      </c>
      <c r="C20" s="6"/>
      <c r="D20" s="22" t="s">
        <v>16</v>
      </c>
      <c r="E20" s="21">
        <f>E21+E22</f>
        <v>2101680</v>
      </c>
      <c r="F20" s="21">
        <f>F21+F22</f>
        <v>1375080</v>
      </c>
      <c r="G20" s="21">
        <f>G21+G22</f>
        <v>765648.01</v>
      </c>
      <c r="H20" s="21">
        <f>H21+H22</f>
        <v>207000</v>
      </c>
      <c r="I20" s="21">
        <f>I21+I22</f>
        <v>4677215.99</v>
      </c>
      <c r="J20" s="8">
        <f t="shared" si="0"/>
        <v>9126624</v>
      </c>
      <c r="K20" s="22"/>
    </row>
    <row r="21" spans="1:11" ht="18" customHeight="1">
      <c r="A21" s="5" t="s">
        <v>56</v>
      </c>
      <c r="B21" s="6" t="s">
        <v>57</v>
      </c>
      <c r="C21" s="6" t="s">
        <v>58</v>
      </c>
      <c r="D21" s="22" t="s">
        <v>16</v>
      </c>
      <c r="E21" s="21">
        <f>ROUND(E29/0.07*0.1,2)</f>
        <v>1501200</v>
      </c>
      <c r="F21" s="21">
        <f>ROUND(F29/0.07*0.1,2)</f>
        <v>982200</v>
      </c>
      <c r="G21" s="21">
        <f>ROUND(G29/0.07*0.1,2)</f>
        <v>546891.43000000005</v>
      </c>
      <c r="H21" s="21">
        <f>ROUND(H29/0.07*0.1,2)</f>
        <v>147857.14000000001</v>
      </c>
      <c r="I21" s="21">
        <f>ROUND(I29/0.07*0.1,2)</f>
        <v>3340868.57</v>
      </c>
      <c r="J21" s="8">
        <f t="shared" si="0"/>
        <v>6519017.1400000006</v>
      </c>
      <c r="K21" s="22"/>
    </row>
    <row r="22" spans="1:11" ht="18" customHeight="1">
      <c r="A22" s="5" t="s">
        <v>59</v>
      </c>
      <c r="B22" s="6" t="s">
        <v>60</v>
      </c>
      <c r="C22" s="6" t="s">
        <v>58</v>
      </c>
      <c r="D22" s="22" t="s">
        <v>39</v>
      </c>
      <c r="E22" s="21">
        <f>E23+E24</f>
        <v>600480</v>
      </c>
      <c r="F22" s="21">
        <f>F23+F24</f>
        <v>392880</v>
      </c>
      <c r="G22" s="21">
        <f>G23+G24</f>
        <v>218756.58</v>
      </c>
      <c r="H22" s="21">
        <f>H23+H24</f>
        <v>59142.86</v>
      </c>
      <c r="I22" s="21">
        <f>I23+I24</f>
        <v>1336347.42</v>
      </c>
      <c r="J22" s="8">
        <f t="shared" si="0"/>
        <v>2607606.8600000003</v>
      </c>
      <c r="K22" s="22"/>
    </row>
    <row r="23" spans="1:11" ht="18" customHeight="1">
      <c r="A23" s="5" t="s">
        <v>61</v>
      </c>
      <c r="B23" s="6" t="s">
        <v>62</v>
      </c>
      <c r="C23" s="6" t="s">
        <v>58</v>
      </c>
      <c r="D23" s="22" t="s">
        <v>39</v>
      </c>
      <c r="E23" s="21">
        <f>ROUND(E29/0.07*0.02,2)</f>
        <v>300240</v>
      </c>
      <c r="F23" s="21">
        <f>ROUND(F29/0.07*0.02,2)</f>
        <v>196440</v>
      </c>
      <c r="G23" s="21">
        <f>ROUND(G29/0.07*0.02,2)</f>
        <v>109378.29</v>
      </c>
      <c r="H23" s="21">
        <f>ROUND(H29/0.07*0.02,2)</f>
        <v>29571.43</v>
      </c>
      <c r="I23" s="21">
        <f>ROUND(I29/0.07*0.02,2)</f>
        <v>668173.71</v>
      </c>
      <c r="J23" s="8">
        <f t="shared" si="0"/>
        <v>1303803.4300000002</v>
      </c>
      <c r="K23" s="22"/>
    </row>
    <row r="24" spans="1:11" ht="18" customHeight="1">
      <c r="A24" s="5" t="s">
        <v>63</v>
      </c>
      <c r="B24" s="6" t="s">
        <v>64</v>
      </c>
      <c r="C24" s="6" t="s">
        <v>58</v>
      </c>
      <c r="D24" s="22" t="s">
        <v>39</v>
      </c>
      <c r="E24" s="21">
        <f>ROUND(E29/0.07*0.02,2)</f>
        <v>300240</v>
      </c>
      <c r="F24" s="21">
        <f>ROUND(F29/0.07*0.02,2)</f>
        <v>196440</v>
      </c>
      <c r="G24" s="21">
        <f>ROUND(G29/0.07*0.02,2)</f>
        <v>109378.29</v>
      </c>
      <c r="H24" s="21">
        <f>ROUND(H29/0.07*0.02,2)</f>
        <v>29571.43</v>
      </c>
      <c r="I24" s="21">
        <f>ROUND(I29/0.07*0.02,2)</f>
        <v>668173.71</v>
      </c>
      <c r="J24" s="8">
        <f t="shared" si="0"/>
        <v>1303803.4300000002</v>
      </c>
      <c r="K24" s="22"/>
    </row>
    <row r="25" spans="1:11" ht="18" customHeight="1">
      <c r="A25" s="5" t="s">
        <v>65</v>
      </c>
      <c r="B25" s="6" t="s">
        <v>66</v>
      </c>
      <c r="C25" s="6"/>
      <c r="D25" s="7" t="s">
        <v>16</v>
      </c>
      <c r="E25" s="8">
        <f>E26</f>
        <v>2401920</v>
      </c>
      <c r="F25" s="8">
        <f>F26</f>
        <v>1571520</v>
      </c>
      <c r="G25" s="8">
        <f>G26</f>
        <v>875026.29</v>
      </c>
      <c r="H25" s="8">
        <f>H26</f>
        <v>236571.43</v>
      </c>
      <c r="I25" s="8">
        <f>I26</f>
        <v>5345389.71</v>
      </c>
      <c r="J25" s="8">
        <f t="shared" si="0"/>
        <v>10430427.43</v>
      </c>
      <c r="K25" s="9"/>
    </row>
    <row r="26" spans="1:11" s="13" customFormat="1" ht="18" customHeight="1">
      <c r="A26" s="5" t="s">
        <v>67</v>
      </c>
      <c r="B26" s="12" t="s">
        <v>68</v>
      </c>
      <c r="C26" s="12" t="s">
        <v>69</v>
      </c>
      <c r="D26" s="9" t="s">
        <v>39</v>
      </c>
      <c r="E26" s="8">
        <f>ROUND(E29/0.07*0.16,2)</f>
        <v>2401920</v>
      </c>
      <c r="F26" s="8">
        <f>ROUND(F29/0.07*0.16,2)</f>
        <v>1571520</v>
      </c>
      <c r="G26" s="8">
        <f>ROUND(G29/0.07*0.16,2)</f>
        <v>875026.29</v>
      </c>
      <c r="H26" s="8">
        <f>ROUND(H29/0.07*0.16,2)</f>
        <v>236571.43</v>
      </c>
      <c r="I26" s="8">
        <f>ROUND(I29/0.07*0.16,2)</f>
        <v>5345389.71</v>
      </c>
      <c r="J26" s="8">
        <f t="shared" si="0"/>
        <v>10430427.43</v>
      </c>
      <c r="K26" s="9"/>
    </row>
    <row r="27" spans="1:11" ht="18" customHeight="1">
      <c r="A27" s="5" t="s">
        <v>70</v>
      </c>
      <c r="B27" s="6" t="s">
        <v>71</v>
      </c>
      <c r="C27" s="6"/>
      <c r="D27" s="7" t="s">
        <v>16</v>
      </c>
      <c r="E27" s="8">
        <f>E28</f>
        <v>1200960</v>
      </c>
      <c r="F27" s="8">
        <f>F28</f>
        <v>785760</v>
      </c>
      <c r="G27" s="8">
        <f>G28</f>
        <v>437513.14</v>
      </c>
      <c r="H27" s="8">
        <f>H28</f>
        <v>118285.71</v>
      </c>
      <c r="I27" s="8">
        <f>I28</f>
        <v>2672694.86</v>
      </c>
      <c r="J27" s="8">
        <f t="shared" si="0"/>
        <v>5215213.71</v>
      </c>
      <c r="K27" s="9"/>
    </row>
    <row r="28" spans="1:11" s="13" customFormat="1" ht="18" customHeight="1">
      <c r="A28" s="5" t="s">
        <v>72</v>
      </c>
      <c r="B28" s="12" t="s">
        <v>73</v>
      </c>
      <c r="C28" s="12" t="s">
        <v>74</v>
      </c>
      <c r="D28" s="9" t="s">
        <v>39</v>
      </c>
      <c r="E28" s="8">
        <f>ROUND(E29/0.07*0.08,2)</f>
        <v>1200960</v>
      </c>
      <c r="F28" s="8">
        <f>ROUND(F29/0.07*0.08,2)</f>
        <v>785760</v>
      </c>
      <c r="G28" s="8">
        <f>ROUND(G29/0.07*0.08,2)</f>
        <v>437513.14</v>
      </c>
      <c r="H28" s="8">
        <f>ROUND(H29/0.07*0.08,2)</f>
        <v>118285.71</v>
      </c>
      <c r="I28" s="8">
        <f>ROUND(I29/0.07*0.08,2)</f>
        <v>2672694.86</v>
      </c>
      <c r="J28" s="8">
        <f t="shared" si="0"/>
        <v>5215213.71</v>
      </c>
      <c r="K28" s="9"/>
    </row>
    <row r="29" spans="1:11" ht="18" customHeight="1">
      <c r="A29" s="5" t="s">
        <v>75</v>
      </c>
      <c r="B29" s="6" t="s">
        <v>76</v>
      </c>
      <c r="C29" s="6" t="s">
        <v>77</v>
      </c>
      <c r="D29" s="7" t="s">
        <v>78</v>
      </c>
      <c r="E29" s="23">
        <v>1050840</v>
      </c>
      <c r="F29" s="23">
        <v>687540</v>
      </c>
      <c r="G29" s="23">
        <v>382824</v>
      </c>
      <c r="H29" s="23">
        <v>103500</v>
      </c>
      <c r="I29" s="23">
        <v>2338608</v>
      </c>
      <c r="J29" s="8">
        <f t="shared" si="0"/>
        <v>4563312</v>
      </c>
      <c r="K29" s="22"/>
    </row>
    <row r="30" spans="1:11" ht="18" customHeight="1">
      <c r="A30" s="5" t="s">
        <v>79</v>
      </c>
      <c r="B30" s="6" t="s">
        <v>80</v>
      </c>
      <c r="C30" s="20" t="s">
        <v>22</v>
      </c>
      <c r="D30" s="9" t="s">
        <v>81</v>
      </c>
      <c r="E30" s="23"/>
      <c r="F30" s="23"/>
      <c r="G30" s="23"/>
      <c r="H30" s="23"/>
      <c r="I30" s="23"/>
      <c r="J30" s="8">
        <f t="shared" si="0"/>
        <v>0</v>
      </c>
      <c r="K30" s="22"/>
    </row>
    <row r="31" spans="1:11" ht="18" customHeight="1">
      <c r="A31" s="5" t="s">
        <v>82</v>
      </c>
      <c r="B31" s="6" t="s">
        <v>83</v>
      </c>
      <c r="C31" s="6"/>
      <c r="D31" s="7" t="s">
        <v>16</v>
      </c>
      <c r="E31" s="8">
        <f>E32+E34+E36</f>
        <v>211500</v>
      </c>
      <c r="F31" s="8">
        <f>F32+F34+F36</f>
        <v>13850</v>
      </c>
      <c r="G31" s="8">
        <f>G32+G34+G36</f>
        <v>1440</v>
      </c>
      <c r="H31" s="8">
        <f>H32+H34+H36</f>
        <v>55620</v>
      </c>
      <c r="I31" s="8">
        <f>I32+I34+I36</f>
        <v>1698060</v>
      </c>
      <c r="J31" s="8">
        <f t="shared" si="0"/>
        <v>1980470</v>
      </c>
      <c r="K31" s="9"/>
    </row>
    <row r="32" spans="1:11" ht="18" customHeight="1">
      <c r="A32" s="5" t="s">
        <v>84</v>
      </c>
      <c r="B32" s="6" t="s">
        <v>85</v>
      </c>
      <c r="C32" s="6" t="s">
        <v>86</v>
      </c>
      <c r="D32" s="22" t="s">
        <v>87</v>
      </c>
      <c r="E32" s="21">
        <f>E33</f>
        <v>207180</v>
      </c>
      <c r="F32" s="21">
        <f>F33</f>
        <v>10850</v>
      </c>
      <c r="G32" s="21">
        <f>G33</f>
        <v>0</v>
      </c>
      <c r="H32" s="21">
        <f>H33</f>
        <v>55620</v>
      </c>
      <c r="I32" s="21">
        <f>I33</f>
        <v>1691580</v>
      </c>
      <c r="J32" s="8">
        <f t="shared" si="0"/>
        <v>1965230</v>
      </c>
      <c r="K32" s="22"/>
    </row>
    <row r="33" spans="1:11" s="19" customFormat="1" ht="18" customHeight="1">
      <c r="A33" s="14" t="s">
        <v>88</v>
      </c>
      <c r="B33" s="24" t="s">
        <v>89</v>
      </c>
      <c r="C33" s="24" t="s">
        <v>86</v>
      </c>
      <c r="D33" s="16" t="s">
        <v>87</v>
      </c>
      <c r="E33" s="25">
        <v>207180</v>
      </c>
      <c r="F33" s="25">
        <v>10850</v>
      </c>
      <c r="G33" s="25"/>
      <c r="H33" s="25">
        <v>55620</v>
      </c>
      <c r="I33" s="25">
        <v>1691580</v>
      </c>
      <c r="J33" s="18">
        <f t="shared" si="0"/>
        <v>1965230</v>
      </c>
      <c r="K33" s="26"/>
    </row>
    <row r="34" spans="1:11" ht="18" customHeight="1">
      <c r="A34" s="5" t="s">
        <v>90</v>
      </c>
      <c r="B34" s="6" t="s">
        <v>91</v>
      </c>
      <c r="C34" s="6"/>
      <c r="D34" s="7" t="s">
        <v>16</v>
      </c>
      <c r="E34" s="8">
        <f>E35</f>
        <v>4320</v>
      </c>
      <c r="F34" s="8">
        <f>F35</f>
        <v>3000</v>
      </c>
      <c r="G34" s="8">
        <f>G35</f>
        <v>1440</v>
      </c>
      <c r="H34" s="8">
        <f>H35</f>
        <v>0</v>
      </c>
      <c r="I34" s="8">
        <f>I35</f>
        <v>6480</v>
      </c>
      <c r="J34" s="8">
        <f t="shared" si="0"/>
        <v>15240</v>
      </c>
      <c r="K34" s="9"/>
    </row>
    <row r="35" spans="1:11" ht="18" customHeight="1">
      <c r="A35" s="5" t="s">
        <v>92</v>
      </c>
      <c r="B35" s="6" t="s">
        <v>93</v>
      </c>
      <c r="C35" s="6" t="s">
        <v>22</v>
      </c>
      <c r="D35" s="7" t="s">
        <v>23</v>
      </c>
      <c r="E35" s="10">
        <v>4320</v>
      </c>
      <c r="F35" s="10">
        <v>3000</v>
      </c>
      <c r="G35" s="10">
        <v>1440</v>
      </c>
      <c r="H35" s="10"/>
      <c r="I35" s="10">
        <v>6480</v>
      </c>
      <c r="J35" s="8">
        <f t="shared" si="0"/>
        <v>15240</v>
      </c>
      <c r="K35" s="9"/>
    </row>
    <row r="36" spans="1:11" ht="18" customHeight="1">
      <c r="A36" s="5" t="s">
        <v>94</v>
      </c>
      <c r="B36" s="6" t="s">
        <v>95</v>
      </c>
      <c r="C36" s="6"/>
      <c r="D36" s="7" t="s">
        <v>16</v>
      </c>
      <c r="E36" s="8">
        <f>E37</f>
        <v>0</v>
      </c>
      <c r="F36" s="8">
        <f>F37</f>
        <v>0</v>
      </c>
      <c r="G36" s="8">
        <f>G37</f>
        <v>0</v>
      </c>
      <c r="H36" s="8">
        <f>H37</f>
        <v>0</v>
      </c>
      <c r="I36" s="8">
        <f>I37</f>
        <v>0</v>
      </c>
      <c r="J36" s="8">
        <f t="shared" si="0"/>
        <v>0</v>
      </c>
      <c r="K36" s="9"/>
    </row>
    <row r="37" spans="1:11" ht="18" customHeight="1">
      <c r="A37" s="5" t="s">
        <v>96</v>
      </c>
      <c r="B37" s="6" t="s">
        <v>97</v>
      </c>
      <c r="C37" s="6" t="s">
        <v>22</v>
      </c>
      <c r="D37" s="22" t="s">
        <v>98</v>
      </c>
      <c r="E37" s="23"/>
      <c r="F37" s="23"/>
      <c r="G37" s="23"/>
      <c r="H37" s="23"/>
      <c r="I37" s="23"/>
      <c r="J37" s="8">
        <f t="shared" si="0"/>
        <v>0</v>
      </c>
      <c r="K37" s="22"/>
    </row>
    <row r="38" spans="1:11" ht="18" customHeight="1">
      <c r="A38" s="5" t="s">
        <v>99</v>
      </c>
      <c r="B38" s="6" t="s">
        <v>100</v>
      </c>
      <c r="C38" s="6"/>
      <c r="D38" s="7" t="s">
        <v>16</v>
      </c>
      <c r="E38" s="8">
        <f>E39+E41+E43+E45+E47+E50+E52+E54+E58</f>
        <v>3134508.9</v>
      </c>
      <c r="F38" s="8">
        <f>F39+F41+F43+F45+F47+F50+F52+F54+F58</f>
        <v>2690231.85</v>
      </c>
      <c r="G38" s="8">
        <f>G39+G41+G43+G45+G47+G50+G52+G54+G58</f>
        <v>1291723.8900000001</v>
      </c>
      <c r="H38" s="8">
        <f>H39+H41+H43+H45+H47+H50+H52+H54+H58</f>
        <v>314951.43</v>
      </c>
      <c r="I38" s="8">
        <f>I39+I41+I43+I45+I47+I50+I52+I54+I58</f>
        <v>7768684.0099999998</v>
      </c>
      <c r="J38" s="8">
        <f t="shared" si="0"/>
        <v>15200100.08</v>
      </c>
      <c r="K38" s="9"/>
    </row>
    <row r="39" spans="1:11" s="19" customFormat="1" ht="18" customHeight="1">
      <c r="A39" s="14" t="s">
        <v>101</v>
      </c>
      <c r="B39" s="24" t="s">
        <v>102</v>
      </c>
      <c r="C39" s="24"/>
      <c r="D39" s="45" t="s">
        <v>103</v>
      </c>
      <c r="E39" s="25">
        <v>2255000</v>
      </c>
      <c r="F39" s="25">
        <v>2107820</v>
      </c>
      <c r="G39" s="25">
        <v>858000</v>
      </c>
      <c r="H39" s="25">
        <v>134400</v>
      </c>
      <c r="I39" s="25">
        <v>5539340</v>
      </c>
      <c r="J39" s="18">
        <f t="shared" si="0"/>
        <v>10894560</v>
      </c>
      <c r="K39" s="26"/>
    </row>
    <row r="40" spans="1:11" s="19" customFormat="1" ht="18" customHeight="1">
      <c r="A40" s="14" t="s">
        <v>104</v>
      </c>
      <c r="B40" s="24" t="s">
        <v>105</v>
      </c>
      <c r="C40" s="24" t="s">
        <v>106</v>
      </c>
      <c r="D40" s="27" t="s">
        <v>107</v>
      </c>
      <c r="E40" s="25">
        <v>89759</v>
      </c>
      <c r="F40" s="25">
        <v>81653</v>
      </c>
      <c r="G40" s="25">
        <v>36608</v>
      </c>
      <c r="H40" s="25">
        <v>6720</v>
      </c>
      <c r="I40" s="25">
        <v>276967</v>
      </c>
      <c r="J40" s="18">
        <f t="shared" si="0"/>
        <v>491707</v>
      </c>
      <c r="K40" s="26"/>
    </row>
    <row r="41" spans="1:11" ht="18" customHeight="1">
      <c r="A41" s="5" t="s">
        <v>108</v>
      </c>
      <c r="B41" s="6" t="s">
        <v>109</v>
      </c>
      <c r="C41" s="6"/>
      <c r="D41" s="7"/>
      <c r="E41" s="8">
        <f>E42</f>
        <v>27200</v>
      </c>
      <c r="F41" s="8">
        <f>F42</f>
        <v>18400</v>
      </c>
      <c r="G41" s="8">
        <f>G42</f>
        <v>10800</v>
      </c>
      <c r="H41" s="8">
        <f>H42</f>
        <v>2400</v>
      </c>
      <c r="I41" s="8">
        <f>I42</f>
        <v>47600</v>
      </c>
      <c r="J41" s="8">
        <f t="shared" si="0"/>
        <v>106400</v>
      </c>
      <c r="K41" s="9"/>
    </row>
    <row r="42" spans="1:11" s="13" customFormat="1" ht="18" customHeight="1">
      <c r="A42" s="5" t="s">
        <v>110</v>
      </c>
      <c r="B42" s="12" t="s">
        <v>111</v>
      </c>
      <c r="C42" s="12" t="s">
        <v>22</v>
      </c>
      <c r="D42" s="28" t="s">
        <v>112</v>
      </c>
      <c r="E42" s="8">
        <f>E61*400</f>
        <v>27200</v>
      </c>
      <c r="F42" s="8">
        <f>F61*400</f>
        <v>18400</v>
      </c>
      <c r="G42" s="8">
        <f>G61*400</f>
        <v>10800</v>
      </c>
      <c r="H42" s="8">
        <f>H61*400</f>
        <v>2400</v>
      </c>
      <c r="I42" s="8">
        <f>I61*400</f>
        <v>47600</v>
      </c>
      <c r="J42" s="8">
        <f t="shared" si="0"/>
        <v>106400</v>
      </c>
      <c r="K42" s="9"/>
    </row>
    <row r="43" spans="1:11" ht="18" customHeight="1">
      <c r="A43" s="5" t="s">
        <v>113</v>
      </c>
      <c r="B43" s="6" t="s">
        <v>114</v>
      </c>
      <c r="C43" s="6"/>
      <c r="D43" s="7" t="s">
        <v>16</v>
      </c>
      <c r="E43" s="8">
        <f>E44</f>
        <v>130548.90000000001</v>
      </c>
      <c r="F43" s="8">
        <f>F44</f>
        <v>102155.85</v>
      </c>
      <c r="G43" s="8">
        <f>G44</f>
        <v>133521.60000000001</v>
      </c>
      <c r="H43" s="8">
        <f>H44</f>
        <v>54900</v>
      </c>
      <c r="I43" s="8">
        <f>I44</f>
        <v>424758.30000000005</v>
      </c>
      <c r="J43" s="8">
        <f t="shared" si="0"/>
        <v>845884.65</v>
      </c>
      <c r="K43" s="9"/>
    </row>
    <row r="44" spans="1:11" s="13" customFormat="1" ht="18" customHeight="1">
      <c r="A44" s="5" t="s">
        <v>115</v>
      </c>
      <c r="B44" s="12" t="s">
        <v>116</v>
      </c>
      <c r="C44" s="12" t="s">
        <v>22</v>
      </c>
      <c r="D44" s="28" t="s">
        <v>117</v>
      </c>
      <c r="E44" s="8">
        <f>E72*15</f>
        <v>130548.90000000001</v>
      </c>
      <c r="F44" s="8">
        <f>F72*15</f>
        <v>102155.85</v>
      </c>
      <c r="G44" s="8">
        <f>G72*15</f>
        <v>133521.60000000001</v>
      </c>
      <c r="H44" s="8">
        <f>H72*15</f>
        <v>54900</v>
      </c>
      <c r="I44" s="8">
        <f>I72*15</f>
        <v>424758.30000000005</v>
      </c>
      <c r="J44" s="8">
        <f t="shared" si="0"/>
        <v>845884.65</v>
      </c>
      <c r="K44" s="9"/>
    </row>
    <row r="45" spans="1:11" ht="18" customHeight="1">
      <c r="A45" s="5" t="s">
        <v>118</v>
      </c>
      <c r="B45" s="6" t="s">
        <v>119</v>
      </c>
      <c r="C45" s="6"/>
      <c r="D45" s="7" t="s">
        <v>16</v>
      </c>
      <c r="E45" s="8">
        <f>E46</f>
        <v>26120</v>
      </c>
      <c r="F45" s="8">
        <f>F46</f>
        <v>26976</v>
      </c>
      <c r="G45" s="8">
        <f>G46</f>
        <v>28984</v>
      </c>
      <c r="H45" s="8">
        <f>H46</f>
        <v>21600</v>
      </c>
      <c r="I45" s="8">
        <f>I46</f>
        <v>119152</v>
      </c>
      <c r="J45" s="8">
        <f t="shared" si="0"/>
        <v>222832</v>
      </c>
      <c r="K45" s="9"/>
    </row>
    <row r="46" spans="1:11" s="13" customFormat="1" ht="18" customHeight="1">
      <c r="A46" s="5" t="s">
        <v>120</v>
      </c>
      <c r="B46" s="12" t="s">
        <v>121</v>
      </c>
      <c r="C46" s="12" t="s">
        <v>22</v>
      </c>
      <c r="D46" s="28" t="s">
        <v>122</v>
      </c>
      <c r="E46" s="8">
        <f>E73*8</f>
        <v>26120</v>
      </c>
      <c r="F46" s="8">
        <f>F73*8</f>
        <v>26976</v>
      </c>
      <c r="G46" s="8">
        <f>G73*8</f>
        <v>28984</v>
      </c>
      <c r="H46" s="8">
        <f>H73*8</f>
        <v>21600</v>
      </c>
      <c r="I46" s="8">
        <f>I73*8</f>
        <v>119152</v>
      </c>
      <c r="J46" s="8">
        <f t="shared" si="0"/>
        <v>222832</v>
      </c>
      <c r="K46" s="9"/>
    </row>
    <row r="47" spans="1:11" ht="18" customHeight="1">
      <c r="A47" s="5" t="s">
        <v>123</v>
      </c>
      <c r="B47" s="6" t="s">
        <v>124</v>
      </c>
      <c r="C47" s="6"/>
      <c r="D47" s="7" t="s">
        <v>16</v>
      </c>
      <c r="E47" s="8">
        <f>E48+E49</f>
        <v>345600</v>
      </c>
      <c r="F47" s="8">
        <f>F48+F49</f>
        <v>203040</v>
      </c>
      <c r="G47" s="8">
        <f>G48+G49</f>
        <v>116640</v>
      </c>
      <c r="H47" s="8">
        <f>H48+H49</f>
        <v>38880</v>
      </c>
      <c r="I47" s="8">
        <f>I48+I49</f>
        <v>898560</v>
      </c>
      <c r="J47" s="8">
        <f t="shared" si="0"/>
        <v>1602720</v>
      </c>
      <c r="K47" s="9"/>
    </row>
    <row r="48" spans="1:11" s="13" customFormat="1" ht="18" customHeight="1">
      <c r="A48" s="5" t="s">
        <v>125</v>
      </c>
      <c r="B48" s="12" t="s">
        <v>126</v>
      </c>
      <c r="C48" s="12" t="s">
        <v>22</v>
      </c>
      <c r="D48" s="28" t="s">
        <v>127</v>
      </c>
      <c r="E48" s="8">
        <f>E61*4320</f>
        <v>293760</v>
      </c>
      <c r="F48" s="8">
        <f>F61*4320</f>
        <v>198720</v>
      </c>
      <c r="G48" s="8">
        <f>G61*4320</f>
        <v>116640</v>
      </c>
      <c r="H48" s="8">
        <f>H61*4320</f>
        <v>25920</v>
      </c>
      <c r="I48" s="8">
        <f>I61*4320</f>
        <v>514080</v>
      </c>
      <c r="J48" s="8">
        <f t="shared" si="0"/>
        <v>1149120</v>
      </c>
      <c r="K48" s="9"/>
    </row>
    <row r="49" spans="1:11" s="13" customFormat="1" ht="18" customHeight="1">
      <c r="A49" s="5" t="s">
        <v>128</v>
      </c>
      <c r="B49" s="12" t="s">
        <v>129</v>
      </c>
      <c r="C49" s="12" t="s">
        <v>22</v>
      </c>
      <c r="D49" s="28" t="s">
        <v>130</v>
      </c>
      <c r="E49" s="8">
        <f>E71*4320</f>
        <v>51840</v>
      </c>
      <c r="F49" s="8">
        <f>F71*4320</f>
        <v>4320</v>
      </c>
      <c r="G49" s="8">
        <f>G71*4320</f>
        <v>0</v>
      </c>
      <c r="H49" s="8">
        <f>H71*4320</f>
        <v>12960</v>
      </c>
      <c r="I49" s="8">
        <f>I71*4320</f>
        <v>384480</v>
      </c>
      <c r="J49" s="8">
        <f t="shared" si="0"/>
        <v>453600</v>
      </c>
      <c r="K49" s="9"/>
    </row>
    <row r="50" spans="1:11" ht="18" customHeight="1">
      <c r="A50" s="5" t="s">
        <v>131</v>
      </c>
      <c r="B50" s="6" t="s">
        <v>132</v>
      </c>
      <c r="C50" s="6"/>
      <c r="D50" s="7" t="s">
        <v>16</v>
      </c>
      <c r="E50" s="8">
        <f>E51</f>
        <v>300240</v>
      </c>
      <c r="F50" s="8">
        <f>F51</f>
        <v>196440</v>
      </c>
      <c r="G50" s="8">
        <f>G51</f>
        <v>109378.29</v>
      </c>
      <c r="H50" s="8">
        <f>H51</f>
        <v>29571.43</v>
      </c>
      <c r="I50" s="8">
        <f>I51</f>
        <v>668173.71</v>
      </c>
      <c r="J50" s="8">
        <f t="shared" si="0"/>
        <v>1303803.4300000002</v>
      </c>
      <c r="K50" s="9"/>
    </row>
    <row r="51" spans="1:11" s="13" customFormat="1" ht="18" customHeight="1">
      <c r="A51" s="5" t="s">
        <v>133</v>
      </c>
      <c r="B51" s="12" t="s">
        <v>134</v>
      </c>
      <c r="C51" s="12" t="s">
        <v>22</v>
      </c>
      <c r="D51" s="9" t="s">
        <v>39</v>
      </c>
      <c r="E51" s="8">
        <f>ROUND(E29/0.07*0.02,2)</f>
        <v>300240</v>
      </c>
      <c r="F51" s="8">
        <f>ROUND(F29/0.07*0.02,2)</f>
        <v>196440</v>
      </c>
      <c r="G51" s="8">
        <f>ROUND(G29/0.07*0.02,2)</f>
        <v>109378.29</v>
      </c>
      <c r="H51" s="8">
        <f>ROUND(H29/0.07*0.02,2)</f>
        <v>29571.43</v>
      </c>
      <c r="I51" s="8">
        <f>ROUND(I29/0.07*0.02,2)</f>
        <v>668173.71</v>
      </c>
      <c r="J51" s="8">
        <f t="shared" si="0"/>
        <v>1303803.4300000002</v>
      </c>
      <c r="K51" s="9"/>
    </row>
    <row r="52" spans="1:11" ht="18" customHeight="1">
      <c r="A52" s="5" t="s">
        <v>135</v>
      </c>
      <c r="B52" s="6" t="s">
        <v>136</v>
      </c>
      <c r="C52" s="6"/>
      <c r="D52" s="7" t="s">
        <v>16</v>
      </c>
      <c r="E52" s="8">
        <f>E53</f>
        <v>32000</v>
      </c>
      <c r="F52" s="8">
        <f>F53</f>
        <v>0</v>
      </c>
      <c r="G52" s="8">
        <f>G53</f>
        <v>0</v>
      </c>
      <c r="H52" s="8">
        <f>H53</f>
        <v>0</v>
      </c>
      <c r="I52" s="8">
        <f>I53</f>
        <v>32000</v>
      </c>
      <c r="J52" s="8">
        <f t="shared" si="0"/>
        <v>64000</v>
      </c>
      <c r="K52" s="9"/>
    </row>
    <row r="53" spans="1:11" ht="18" customHeight="1">
      <c r="A53" s="5" t="s">
        <v>137</v>
      </c>
      <c r="B53" s="6" t="s">
        <v>138</v>
      </c>
      <c r="C53" s="6" t="s">
        <v>22</v>
      </c>
      <c r="D53" s="29" t="s">
        <v>139</v>
      </c>
      <c r="E53" s="10">
        <v>32000</v>
      </c>
      <c r="F53" s="10"/>
      <c r="G53" s="10"/>
      <c r="H53" s="10"/>
      <c r="I53" s="10">
        <v>32000</v>
      </c>
      <c r="J53" s="8">
        <f t="shared" si="0"/>
        <v>64000</v>
      </c>
      <c r="K53" s="9"/>
    </row>
    <row r="54" spans="1:11" ht="18" customHeight="1">
      <c r="A54" s="5" t="s">
        <v>140</v>
      </c>
      <c r="B54" s="6" t="s">
        <v>141</v>
      </c>
      <c r="C54" s="6"/>
      <c r="D54" s="7" t="s">
        <v>16</v>
      </c>
      <c r="E54" s="8">
        <f>E55+E57</f>
        <v>7800</v>
      </c>
      <c r="F54" s="8">
        <f>F55+F57</f>
        <v>3400</v>
      </c>
      <c r="G54" s="8">
        <f>G55+G57</f>
        <v>2400</v>
      </c>
      <c r="H54" s="8">
        <f>H55+H57</f>
        <v>1200</v>
      </c>
      <c r="I54" s="8">
        <f>I55+I57</f>
        <v>39100</v>
      </c>
      <c r="J54" s="8">
        <f t="shared" si="0"/>
        <v>53900</v>
      </c>
      <c r="K54" s="9"/>
    </row>
    <row r="55" spans="1:11" ht="18" customHeight="1">
      <c r="A55" s="5" t="s">
        <v>142</v>
      </c>
      <c r="B55" s="6" t="s">
        <v>143</v>
      </c>
      <c r="C55" s="6" t="s">
        <v>22</v>
      </c>
      <c r="D55" s="7" t="s">
        <v>16</v>
      </c>
      <c r="E55" s="8">
        <f>E56</f>
        <v>4800</v>
      </c>
      <c r="F55" s="8">
        <f>F56</f>
        <v>400</v>
      </c>
      <c r="G55" s="8">
        <f>G56</f>
        <v>0</v>
      </c>
      <c r="H55" s="8">
        <f>H56</f>
        <v>1200</v>
      </c>
      <c r="I55" s="8">
        <f>I56</f>
        <v>35600</v>
      </c>
      <c r="J55" s="8">
        <f t="shared" si="0"/>
        <v>42000</v>
      </c>
      <c r="K55" s="9"/>
    </row>
    <row r="56" spans="1:11" s="13" customFormat="1" ht="18" customHeight="1">
      <c r="A56" s="5" t="s">
        <v>144</v>
      </c>
      <c r="B56" s="12" t="s">
        <v>145</v>
      </c>
      <c r="C56" s="12" t="s">
        <v>22</v>
      </c>
      <c r="D56" s="28" t="s">
        <v>146</v>
      </c>
      <c r="E56" s="8">
        <f>E71*400</f>
        <v>4800</v>
      </c>
      <c r="F56" s="8">
        <f>F71*400</f>
        <v>400</v>
      </c>
      <c r="G56" s="8">
        <f>G71*400</f>
        <v>0</v>
      </c>
      <c r="H56" s="8">
        <f>H71*400</f>
        <v>1200</v>
      </c>
      <c r="I56" s="8">
        <f>I71*400</f>
        <v>35600</v>
      </c>
      <c r="J56" s="8">
        <f t="shared" si="0"/>
        <v>42000</v>
      </c>
      <c r="K56" s="9"/>
    </row>
    <row r="57" spans="1:11" ht="18" customHeight="1">
      <c r="A57" s="5" t="s">
        <v>147</v>
      </c>
      <c r="B57" s="6" t="s">
        <v>148</v>
      </c>
      <c r="C57" s="6" t="s">
        <v>22</v>
      </c>
      <c r="D57" s="29" t="s">
        <v>149</v>
      </c>
      <c r="E57" s="30">
        <v>3000</v>
      </c>
      <c r="F57" s="30">
        <v>3000</v>
      </c>
      <c r="G57" s="30">
        <v>2400</v>
      </c>
      <c r="H57" s="30"/>
      <c r="I57" s="30">
        <v>3500</v>
      </c>
      <c r="J57" s="8">
        <f t="shared" si="0"/>
        <v>11900</v>
      </c>
      <c r="K57" s="22"/>
    </row>
    <row r="58" spans="1:11" ht="18" customHeight="1">
      <c r="A58" s="5" t="s">
        <v>150</v>
      </c>
      <c r="B58" s="6" t="s">
        <v>151</v>
      </c>
      <c r="C58" s="6"/>
      <c r="D58" s="7" t="s">
        <v>16</v>
      </c>
      <c r="E58" s="8">
        <f>E59</f>
        <v>10000</v>
      </c>
      <c r="F58" s="8">
        <f>F59</f>
        <v>32000</v>
      </c>
      <c r="G58" s="8">
        <f>G59</f>
        <v>32000</v>
      </c>
      <c r="H58" s="8">
        <f>H59</f>
        <v>32000</v>
      </c>
      <c r="I58" s="8">
        <f>I59</f>
        <v>0</v>
      </c>
      <c r="J58" s="8">
        <f t="shared" si="0"/>
        <v>106000</v>
      </c>
      <c r="K58" s="9"/>
    </row>
    <row r="59" spans="1:11" ht="18" customHeight="1" thickBot="1">
      <c r="A59" s="5" t="s">
        <v>152</v>
      </c>
      <c r="B59" s="31" t="s">
        <v>153</v>
      </c>
      <c r="C59" s="6" t="s">
        <v>22</v>
      </c>
      <c r="D59" s="32" t="s">
        <v>154</v>
      </c>
      <c r="E59" s="33">
        <v>10000</v>
      </c>
      <c r="F59" s="34">
        <v>32000</v>
      </c>
      <c r="G59" s="33">
        <v>32000</v>
      </c>
      <c r="H59" s="33">
        <v>32000</v>
      </c>
      <c r="I59" s="33"/>
      <c r="J59" s="8">
        <f t="shared" si="0"/>
        <v>106000</v>
      </c>
      <c r="K59" s="35"/>
    </row>
    <row r="60" spans="1:11" ht="18" customHeight="1" thickTop="1">
      <c r="A60" s="5" t="s">
        <v>155</v>
      </c>
      <c r="B60" s="36" t="s">
        <v>156</v>
      </c>
      <c r="C60" s="36"/>
      <c r="D60" s="37"/>
      <c r="E60" s="38"/>
      <c r="F60" s="38"/>
      <c r="G60" s="38"/>
      <c r="H60" s="38"/>
      <c r="I60" s="38"/>
      <c r="J60" s="8">
        <f t="shared" si="0"/>
        <v>0</v>
      </c>
      <c r="K60" s="39"/>
    </row>
    <row r="61" spans="1:11" ht="18" customHeight="1">
      <c r="A61" s="5" t="s">
        <v>157</v>
      </c>
      <c r="B61" s="6" t="s">
        <v>158</v>
      </c>
      <c r="C61" s="6"/>
      <c r="D61" s="7" t="s">
        <v>159</v>
      </c>
      <c r="E61" s="8">
        <f>E62+E63+E64+E65</f>
        <v>68</v>
      </c>
      <c r="F61" s="8">
        <f>F62+F63+F64+F65</f>
        <v>46</v>
      </c>
      <c r="G61" s="8">
        <f>G62+G63+G64+G65</f>
        <v>27</v>
      </c>
      <c r="H61" s="8">
        <f>H62+H63+H64+H65</f>
        <v>6</v>
      </c>
      <c r="I61" s="8">
        <f>I62+I63+I64+I65</f>
        <v>119</v>
      </c>
      <c r="J61" s="8">
        <f t="shared" si="0"/>
        <v>266</v>
      </c>
      <c r="K61" s="9"/>
    </row>
    <row r="62" spans="1:11" ht="18" customHeight="1">
      <c r="A62" s="5" t="s">
        <v>160</v>
      </c>
      <c r="B62" s="40" t="s">
        <v>161</v>
      </c>
      <c r="C62" s="40"/>
      <c r="D62" s="22"/>
      <c r="E62" s="23"/>
      <c r="F62" s="23"/>
      <c r="G62" s="23"/>
      <c r="H62" s="23"/>
      <c r="I62" s="23">
        <v>55</v>
      </c>
      <c r="J62" s="8">
        <f t="shared" si="0"/>
        <v>55</v>
      </c>
      <c r="K62" s="9"/>
    </row>
    <row r="63" spans="1:11" ht="18" customHeight="1">
      <c r="A63" s="5" t="s">
        <v>162</v>
      </c>
      <c r="B63" s="40" t="s">
        <v>163</v>
      </c>
      <c r="C63" s="40"/>
      <c r="D63" s="7"/>
      <c r="E63" s="10"/>
      <c r="F63" s="10"/>
      <c r="G63" s="10"/>
      <c r="H63" s="10"/>
      <c r="I63" s="10">
        <v>64</v>
      </c>
      <c r="J63" s="8">
        <f t="shared" si="0"/>
        <v>64</v>
      </c>
      <c r="K63" s="9"/>
    </row>
    <row r="64" spans="1:11" ht="18" customHeight="1">
      <c r="A64" s="5" t="s">
        <v>164</v>
      </c>
      <c r="B64" s="40" t="s">
        <v>165</v>
      </c>
      <c r="C64" s="40"/>
      <c r="D64" s="22"/>
      <c r="E64" s="23">
        <v>68</v>
      </c>
      <c r="F64" s="23">
        <v>46</v>
      </c>
      <c r="G64" s="23">
        <v>27</v>
      </c>
      <c r="H64" s="23"/>
      <c r="I64" s="23"/>
      <c r="J64" s="8">
        <f t="shared" si="0"/>
        <v>141</v>
      </c>
      <c r="K64" s="9"/>
    </row>
    <row r="65" spans="1:11" ht="18" customHeight="1">
      <c r="A65" s="5" t="s">
        <v>166</v>
      </c>
      <c r="B65" s="40" t="s">
        <v>167</v>
      </c>
      <c r="C65" s="40"/>
      <c r="D65" s="22"/>
      <c r="E65" s="23"/>
      <c r="F65" s="23"/>
      <c r="G65" s="23"/>
      <c r="H65" s="23">
        <v>6</v>
      </c>
      <c r="I65" s="23"/>
      <c r="J65" s="8">
        <f t="shared" si="0"/>
        <v>6</v>
      </c>
      <c r="K65" s="9"/>
    </row>
    <row r="66" spans="1:11" ht="18" customHeight="1">
      <c r="A66" s="5" t="s">
        <v>168</v>
      </c>
      <c r="B66" s="6" t="s">
        <v>169</v>
      </c>
      <c r="C66" s="6"/>
      <c r="D66" s="7" t="s">
        <v>170</v>
      </c>
      <c r="E66" s="8">
        <f>E67+E68+E69+E70</f>
        <v>593</v>
      </c>
      <c r="F66" s="8">
        <f>F67+F68+F69+F70</f>
        <v>571</v>
      </c>
      <c r="G66" s="8">
        <f>G67+G68+G69+G70</f>
        <v>256</v>
      </c>
      <c r="H66" s="8">
        <f>H67+H68+H69+H70</f>
        <v>0</v>
      </c>
      <c r="I66" s="8">
        <f>I67+I68+I69+I70</f>
        <v>1555</v>
      </c>
      <c r="J66" s="8">
        <f t="shared" si="0"/>
        <v>2975</v>
      </c>
      <c r="K66" s="9"/>
    </row>
    <row r="67" spans="1:11" ht="18" customHeight="1">
      <c r="A67" s="5" t="s">
        <v>171</v>
      </c>
      <c r="B67" s="40" t="s">
        <v>161</v>
      </c>
      <c r="C67" s="40"/>
      <c r="D67" s="22"/>
      <c r="E67" s="23"/>
      <c r="F67" s="23"/>
      <c r="G67" s="23"/>
      <c r="H67" s="23"/>
      <c r="I67" s="23">
        <v>731</v>
      </c>
      <c r="J67" s="8">
        <f t="shared" ref="J67:J73" si="1">SUM(E67:I67)</f>
        <v>731</v>
      </c>
      <c r="K67" s="9"/>
    </row>
    <row r="68" spans="1:11" ht="18" customHeight="1">
      <c r="A68" s="5" t="s">
        <v>172</v>
      </c>
      <c r="B68" s="40" t="s">
        <v>163</v>
      </c>
      <c r="C68" s="40"/>
      <c r="D68" s="7"/>
      <c r="E68" s="10"/>
      <c r="F68" s="10"/>
      <c r="G68" s="10"/>
      <c r="H68" s="10"/>
      <c r="I68" s="10">
        <v>824</v>
      </c>
      <c r="J68" s="8">
        <f t="shared" si="1"/>
        <v>824</v>
      </c>
      <c r="K68" s="9"/>
    </row>
    <row r="69" spans="1:11" ht="18" customHeight="1">
      <c r="A69" s="5" t="s">
        <v>173</v>
      </c>
      <c r="B69" s="40" t="s">
        <v>165</v>
      </c>
      <c r="C69" s="40"/>
      <c r="D69" s="22"/>
      <c r="E69" s="23">
        <v>593</v>
      </c>
      <c r="F69" s="23">
        <v>571</v>
      </c>
      <c r="G69" s="23">
        <v>256</v>
      </c>
      <c r="H69" s="23"/>
      <c r="I69" s="23"/>
      <c r="J69" s="8">
        <f t="shared" si="1"/>
        <v>1420</v>
      </c>
      <c r="K69" s="9"/>
    </row>
    <row r="70" spans="1:11" ht="18" customHeight="1">
      <c r="A70" s="5" t="s">
        <v>174</v>
      </c>
      <c r="B70" s="40" t="s">
        <v>167</v>
      </c>
      <c r="C70" s="40"/>
      <c r="D70" s="22"/>
      <c r="E70" s="23"/>
      <c r="F70" s="23"/>
      <c r="G70" s="23"/>
      <c r="H70" s="23"/>
      <c r="I70" s="23"/>
      <c r="J70" s="8">
        <f t="shared" si="1"/>
        <v>0</v>
      </c>
      <c r="K70" s="9"/>
    </row>
    <row r="71" spans="1:11" ht="18" customHeight="1">
      <c r="A71" s="5" t="s">
        <v>175</v>
      </c>
      <c r="B71" s="6" t="s">
        <v>176</v>
      </c>
      <c r="C71" s="6"/>
      <c r="D71" s="7"/>
      <c r="E71" s="10">
        <v>12</v>
      </c>
      <c r="F71" s="10">
        <v>1</v>
      </c>
      <c r="G71" s="10"/>
      <c r="H71" s="10">
        <v>3</v>
      </c>
      <c r="I71" s="10">
        <v>89</v>
      </c>
      <c r="J71" s="8">
        <f t="shared" si="1"/>
        <v>105</v>
      </c>
      <c r="K71" s="9"/>
    </row>
    <row r="72" spans="1:11" ht="18" customHeight="1">
      <c r="A72" s="5" t="s">
        <v>177</v>
      </c>
      <c r="B72" s="40" t="s">
        <v>178</v>
      </c>
      <c r="C72" s="40"/>
      <c r="D72" s="29"/>
      <c r="E72" s="10">
        <v>8703.26</v>
      </c>
      <c r="F72" s="10">
        <v>6810.39</v>
      </c>
      <c r="G72" s="10">
        <v>8901.44</v>
      </c>
      <c r="H72" s="10">
        <v>3660</v>
      </c>
      <c r="I72" s="10">
        <v>28317.22</v>
      </c>
      <c r="J72" s="8">
        <f t="shared" si="1"/>
        <v>56392.310000000005</v>
      </c>
      <c r="K72" s="9"/>
    </row>
    <row r="73" spans="1:11" ht="18" customHeight="1">
      <c r="A73" s="5" t="s">
        <v>179</v>
      </c>
      <c r="B73" s="40" t="s">
        <v>180</v>
      </c>
      <c r="C73" s="40"/>
      <c r="D73" s="29"/>
      <c r="E73" s="10">
        <v>3265</v>
      </c>
      <c r="F73" s="10">
        <v>3372</v>
      </c>
      <c r="G73" s="10">
        <v>3623</v>
      </c>
      <c r="H73" s="10">
        <v>2700</v>
      </c>
      <c r="I73" s="10">
        <v>14894</v>
      </c>
      <c r="J73" s="8">
        <f t="shared" si="1"/>
        <v>27854</v>
      </c>
      <c r="K73" s="9"/>
    </row>
    <row r="74" spans="1:11">
      <c r="E74" s="1">
        <f t="shared" ref="E74:J74" si="2">E4/E61</f>
        <v>341031.92235294118</v>
      </c>
      <c r="F74" s="1">
        <f t="shared" si="2"/>
        <v>333856.22434782609</v>
      </c>
      <c r="G74" s="1">
        <f t="shared" si="2"/>
        <v>327476.77259259258</v>
      </c>
      <c r="H74" s="1">
        <f t="shared" si="2"/>
        <v>371545.88000000006</v>
      </c>
      <c r="I74" s="1">
        <f t="shared" si="2"/>
        <v>407096.62016806728</v>
      </c>
      <c r="J74" s="1">
        <f t="shared" si="2"/>
        <v>368658.65781954891</v>
      </c>
    </row>
  </sheetData>
  <protectedRanges>
    <protectedRange password="E9C1" sqref="D29 C30 A4:D5 B6:D28 B31:D73 J4:K73 A6:A73 A2:K3" name="区域1_1"/>
    <protectedRange password="E9C1" sqref="B29:C29 B30" name="区域1_1_1"/>
    <protectedRange password="E9C1" sqref="D30" name="区域1_2"/>
  </protectedRanges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verticalDpi="0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Q9"/>
  <sheetViews>
    <sheetView topLeftCell="B1" workbookViewId="0">
      <pane xSplit="4" ySplit="3" topLeftCell="F4" activePane="bottomRight" state="frozen"/>
      <selection activeCell="A2" sqref="A2:XFD73"/>
      <selection pane="topRight" activeCell="A2" sqref="A2:XFD73"/>
      <selection pane="bottomLeft" activeCell="A2" sqref="A2:XFD73"/>
      <selection pane="bottomRight" activeCell="A2" sqref="A2:XFD73"/>
    </sheetView>
  </sheetViews>
  <sheetFormatPr defaultRowHeight="13.5"/>
  <cols>
    <col min="1" max="1" width="0" hidden="1" customWidth="1"/>
    <col min="2" max="2" width="25.625" customWidth="1"/>
    <col min="3" max="3" width="6.5" hidden="1" customWidth="1"/>
    <col min="4" max="5" width="0" hidden="1" customWidth="1"/>
    <col min="6" max="17" width="12.625" customWidth="1"/>
  </cols>
  <sheetData>
    <row r="1" spans="1:17" ht="20.25">
      <c r="A1" s="178" t="s">
        <v>285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</row>
    <row r="2" spans="1:17">
      <c r="A2" s="180" t="s">
        <v>202</v>
      </c>
      <c r="B2" s="182" t="s">
        <v>275</v>
      </c>
      <c r="C2" s="182" t="s">
        <v>3</v>
      </c>
      <c r="D2" s="183" t="s">
        <v>276</v>
      </c>
      <c r="E2" s="184" t="s">
        <v>255</v>
      </c>
      <c r="F2" s="185" t="s">
        <v>286</v>
      </c>
      <c r="G2" s="186"/>
      <c r="H2" s="186"/>
      <c r="I2" s="186"/>
      <c r="J2" s="185" t="s">
        <v>287</v>
      </c>
      <c r="K2" s="186"/>
      <c r="L2" s="186"/>
      <c r="M2" s="186"/>
      <c r="N2" s="185" t="s">
        <v>277</v>
      </c>
      <c r="O2" s="186"/>
      <c r="P2" s="186"/>
      <c r="Q2" s="186"/>
    </row>
    <row r="3" spans="1:17" ht="22.5">
      <c r="A3" s="181"/>
      <c r="B3" s="181"/>
      <c r="C3" s="181"/>
      <c r="D3" s="181"/>
      <c r="E3" s="181"/>
      <c r="F3" s="110" t="s">
        <v>278</v>
      </c>
      <c r="G3" s="111" t="s">
        <v>279</v>
      </c>
      <c r="H3" s="112" t="s">
        <v>280</v>
      </c>
      <c r="I3" s="112" t="s">
        <v>281</v>
      </c>
      <c r="J3" s="110" t="s">
        <v>278</v>
      </c>
      <c r="K3" s="111" t="s">
        <v>279</v>
      </c>
      <c r="L3" s="112" t="s">
        <v>280</v>
      </c>
      <c r="M3" s="112" t="s">
        <v>281</v>
      </c>
      <c r="N3" s="110" t="s">
        <v>278</v>
      </c>
      <c r="O3" s="111" t="s">
        <v>279</v>
      </c>
      <c r="P3" s="112" t="s">
        <v>280</v>
      </c>
      <c r="Q3" s="112" t="s">
        <v>281</v>
      </c>
    </row>
    <row r="4" spans="1:17" s="117" customFormat="1" ht="20.100000000000001" customHeight="1">
      <c r="A4" s="112" t="s">
        <v>2</v>
      </c>
      <c r="B4" s="113" t="s">
        <v>186</v>
      </c>
      <c r="C4" s="113">
        <v>1</v>
      </c>
      <c r="D4" s="113" t="s">
        <v>282</v>
      </c>
      <c r="E4" s="113" t="s">
        <v>183</v>
      </c>
      <c r="F4" s="114">
        <v>23279527</v>
      </c>
      <c r="G4" s="114">
        <v>720264</v>
      </c>
      <c r="H4" s="115">
        <v>1276713</v>
      </c>
      <c r="I4" s="115">
        <f>F4+H4</f>
        <v>24556240</v>
      </c>
      <c r="J4" s="116">
        <v>24087600</v>
      </c>
      <c r="K4" s="116">
        <v>711264</v>
      </c>
      <c r="L4" s="116">
        <v>1266493</v>
      </c>
      <c r="M4" s="116">
        <f>J4+L4</f>
        <v>25354093</v>
      </c>
      <c r="N4" s="116">
        <f>F4-J4</f>
        <v>-808073</v>
      </c>
      <c r="O4" s="116">
        <f t="shared" ref="O4:Q8" si="0">G4-K4</f>
        <v>9000</v>
      </c>
      <c r="P4" s="116">
        <f t="shared" si="0"/>
        <v>10220</v>
      </c>
      <c r="Q4" s="116">
        <f t="shared" si="0"/>
        <v>-797853</v>
      </c>
    </row>
    <row r="5" spans="1:17" s="117" customFormat="1" ht="20.100000000000001" customHeight="1">
      <c r="A5" s="109" t="s">
        <v>2</v>
      </c>
      <c r="B5" s="113" t="s">
        <v>190</v>
      </c>
      <c r="C5" s="113">
        <v>2</v>
      </c>
      <c r="D5" s="113" t="s">
        <v>283</v>
      </c>
      <c r="E5" s="113" t="s">
        <v>284</v>
      </c>
      <c r="F5" s="114">
        <v>1142775</v>
      </c>
      <c r="G5" s="114"/>
      <c r="H5" s="115"/>
      <c r="I5" s="115">
        <f t="shared" ref="I5:I8" si="1">F5+H5</f>
        <v>1142775</v>
      </c>
      <c r="J5" s="116">
        <v>1170780</v>
      </c>
      <c r="K5" s="116"/>
      <c r="L5" s="116"/>
      <c r="M5" s="116">
        <f t="shared" ref="M5:M8" si="2">J5+L5</f>
        <v>1170780</v>
      </c>
      <c r="N5" s="116">
        <f t="shared" ref="N5:N8" si="3">F5-J5</f>
        <v>-28005</v>
      </c>
      <c r="O5" s="116">
        <f t="shared" si="0"/>
        <v>0</v>
      </c>
      <c r="P5" s="116">
        <f t="shared" si="0"/>
        <v>0</v>
      </c>
      <c r="Q5" s="116">
        <f t="shared" si="0"/>
        <v>-28005</v>
      </c>
    </row>
    <row r="6" spans="1:17" s="117" customFormat="1" ht="20.100000000000001" customHeight="1">
      <c r="A6" s="109" t="s">
        <v>2</v>
      </c>
      <c r="B6" s="113" t="s">
        <v>187</v>
      </c>
      <c r="C6" s="113">
        <v>3</v>
      </c>
      <c r="D6" s="113" t="s">
        <v>283</v>
      </c>
      <c r="E6" s="113" t="s">
        <v>185</v>
      </c>
      <c r="F6" s="114">
        <v>11336224</v>
      </c>
      <c r="G6" s="114">
        <v>536564</v>
      </c>
      <c r="H6" s="115"/>
      <c r="I6" s="115">
        <f t="shared" si="1"/>
        <v>11336224</v>
      </c>
      <c r="J6" s="116">
        <v>12514040</v>
      </c>
      <c r="K6" s="116">
        <v>526564</v>
      </c>
      <c r="L6" s="116"/>
      <c r="M6" s="116">
        <f t="shared" si="2"/>
        <v>12514040</v>
      </c>
      <c r="N6" s="116">
        <f t="shared" si="3"/>
        <v>-1177816</v>
      </c>
      <c r="O6" s="116">
        <f t="shared" si="0"/>
        <v>10000</v>
      </c>
      <c r="P6" s="116">
        <f t="shared" si="0"/>
        <v>0</v>
      </c>
      <c r="Q6" s="116">
        <f t="shared" si="0"/>
        <v>-1177816</v>
      </c>
    </row>
    <row r="7" spans="1:17" s="117" customFormat="1" ht="20.100000000000001" customHeight="1">
      <c r="A7" s="109" t="s">
        <v>2</v>
      </c>
      <c r="B7" s="113" t="s">
        <v>188</v>
      </c>
      <c r="C7" s="113">
        <v>4</v>
      </c>
      <c r="D7" s="113" t="s">
        <v>283</v>
      </c>
      <c r="E7" s="113" t="s">
        <v>185</v>
      </c>
      <c r="F7" s="114">
        <v>7908843</v>
      </c>
      <c r="G7" s="114">
        <v>255064</v>
      </c>
      <c r="H7" s="115"/>
      <c r="I7" s="115">
        <f t="shared" si="1"/>
        <v>7908843</v>
      </c>
      <c r="J7" s="116">
        <v>8557395</v>
      </c>
      <c r="K7" s="116">
        <v>250064</v>
      </c>
      <c r="L7" s="116"/>
      <c r="M7" s="116">
        <f t="shared" si="2"/>
        <v>8557395</v>
      </c>
      <c r="N7" s="116">
        <f t="shared" si="3"/>
        <v>-648552</v>
      </c>
      <c r="O7" s="116">
        <f t="shared" si="0"/>
        <v>5000</v>
      </c>
      <c r="P7" s="116">
        <f t="shared" si="0"/>
        <v>0</v>
      </c>
      <c r="Q7" s="116">
        <f t="shared" si="0"/>
        <v>-648552</v>
      </c>
    </row>
    <row r="8" spans="1:17" s="117" customFormat="1" ht="20.100000000000001" customHeight="1">
      <c r="A8" s="109" t="s">
        <v>2</v>
      </c>
      <c r="B8" s="110" t="s">
        <v>189</v>
      </c>
      <c r="C8" s="113">
        <v>5</v>
      </c>
      <c r="D8" s="113" t="s">
        <v>283</v>
      </c>
      <c r="E8" s="113" t="s">
        <v>185</v>
      </c>
      <c r="F8" s="114">
        <v>4483505</v>
      </c>
      <c r="G8" s="114"/>
      <c r="H8" s="115"/>
      <c r="I8" s="115">
        <f t="shared" si="1"/>
        <v>4483505</v>
      </c>
      <c r="J8" s="116">
        <v>5060825</v>
      </c>
      <c r="K8" s="116"/>
      <c r="L8" s="116"/>
      <c r="M8" s="116">
        <f t="shared" si="2"/>
        <v>5060825</v>
      </c>
      <c r="N8" s="116">
        <f t="shared" si="3"/>
        <v>-577320</v>
      </c>
      <c r="O8" s="116">
        <f t="shared" si="0"/>
        <v>0</v>
      </c>
      <c r="P8" s="116">
        <f t="shared" si="0"/>
        <v>0</v>
      </c>
      <c r="Q8" s="116">
        <f t="shared" si="0"/>
        <v>-577320</v>
      </c>
    </row>
    <row r="9" spans="1:17" s="117" customFormat="1" ht="20.100000000000001" customHeight="1">
      <c r="A9" s="109"/>
      <c r="B9" s="110" t="s">
        <v>270</v>
      </c>
      <c r="C9" s="113"/>
      <c r="D9" s="113"/>
      <c r="E9" s="113"/>
      <c r="F9" s="114">
        <f>SUM(F4:F8)</f>
        <v>48150874</v>
      </c>
      <c r="G9" s="114">
        <f t="shared" ref="G9:Q9" si="4">SUM(G4:G8)</f>
        <v>1511892</v>
      </c>
      <c r="H9" s="114">
        <f t="shared" si="4"/>
        <v>1276713</v>
      </c>
      <c r="I9" s="114">
        <f t="shared" si="4"/>
        <v>49427587</v>
      </c>
      <c r="J9" s="114">
        <f t="shared" si="4"/>
        <v>51390640</v>
      </c>
      <c r="K9" s="114">
        <f t="shared" si="4"/>
        <v>1487892</v>
      </c>
      <c r="L9" s="114">
        <f t="shared" si="4"/>
        <v>1266493</v>
      </c>
      <c r="M9" s="114">
        <f t="shared" si="4"/>
        <v>52657133</v>
      </c>
      <c r="N9" s="114">
        <f t="shared" si="4"/>
        <v>-3239766</v>
      </c>
      <c r="O9" s="114">
        <f t="shared" si="4"/>
        <v>24000</v>
      </c>
      <c r="P9" s="114">
        <f t="shared" si="4"/>
        <v>10220</v>
      </c>
      <c r="Q9" s="114">
        <f t="shared" si="4"/>
        <v>-3229546</v>
      </c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activeCell="A2" sqref="A2:XFD73"/>
    </sheetView>
  </sheetViews>
  <sheetFormatPr defaultRowHeight="13.5" outlineLevelRow="2"/>
  <cols>
    <col min="1" max="1" width="19.25" style="50" customWidth="1"/>
    <col min="2" max="2" width="40.25" style="50" customWidth="1"/>
    <col min="3" max="3" width="20.625" style="50" hidden="1" customWidth="1"/>
    <col min="4" max="4" width="24.75" style="50" customWidth="1"/>
    <col min="5" max="16384" width="9" style="50"/>
  </cols>
  <sheetData>
    <row r="1" spans="1:4" s="46" customFormat="1" ht="20.25">
      <c r="A1" s="187" t="s">
        <v>292</v>
      </c>
      <c r="B1" s="188"/>
      <c r="C1" s="188"/>
      <c r="D1" s="188"/>
    </row>
    <row r="2" spans="1:4">
      <c r="A2" s="47" t="s">
        <v>191</v>
      </c>
      <c r="B2" s="47" t="s">
        <v>192</v>
      </c>
      <c r="C2" s="47" t="s">
        <v>196</v>
      </c>
      <c r="D2" s="47" t="s">
        <v>193</v>
      </c>
    </row>
    <row r="3" spans="1:4" outlineLevel="2">
      <c r="A3" s="47" t="s">
        <v>194</v>
      </c>
      <c r="B3" s="49" t="s">
        <v>197</v>
      </c>
      <c r="C3" s="47">
        <v>1050840</v>
      </c>
      <c r="D3" s="47">
        <f>ROUND(C3/0.07*0.015*0.9,2)</f>
        <v>202662</v>
      </c>
    </row>
    <row r="4" spans="1:4" outlineLevel="2">
      <c r="A4" s="47" t="s">
        <v>194</v>
      </c>
      <c r="B4" s="49" t="s">
        <v>198</v>
      </c>
      <c r="C4" s="47">
        <v>687540</v>
      </c>
      <c r="D4" s="47">
        <f>ROUND(C4/0.07*0.015*0.9,2)</f>
        <v>132597</v>
      </c>
    </row>
    <row r="5" spans="1:4" outlineLevel="2">
      <c r="A5" s="47" t="s">
        <v>194</v>
      </c>
      <c r="B5" s="49" t="s">
        <v>199</v>
      </c>
      <c r="C5" s="47">
        <v>382824</v>
      </c>
      <c r="D5" s="47">
        <f t="shared" ref="D5:D7" si="0">ROUND(C5/0.07*0.015*0.9,2)</f>
        <v>73830.34</v>
      </c>
    </row>
    <row r="6" spans="1:4" outlineLevel="2">
      <c r="A6" s="47" t="s">
        <v>194</v>
      </c>
      <c r="B6" s="49" t="s">
        <v>200</v>
      </c>
      <c r="C6" s="47">
        <v>103500</v>
      </c>
      <c r="D6" s="47">
        <f t="shared" si="0"/>
        <v>19960.71</v>
      </c>
    </row>
    <row r="7" spans="1:4" outlineLevel="2">
      <c r="A7" s="47" t="s">
        <v>194</v>
      </c>
      <c r="B7" s="49" t="s">
        <v>201</v>
      </c>
      <c r="C7" s="47">
        <v>2338608</v>
      </c>
      <c r="D7" s="47">
        <f t="shared" si="0"/>
        <v>451017.26</v>
      </c>
    </row>
    <row r="8" spans="1:4" outlineLevel="1">
      <c r="A8" s="48" t="s">
        <v>195</v>
      </c>
      <c r="B8" s="49"/>
      <c r="C8" s="47">
        <f>SUBTOTAL(9,C3:C7)</f>
        <v>4563312</v>
      </c>
      <c r="D8" s="47">
        <f>SUM(D3:D7)</f>
        <v>880067.31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C3"/>
  <sheetViews>
    <sheetView workbookViewId="0">
      <selection activeCell="A2" sqref="A2:XFD73"/>
    </sheetView>
  </sheetViews>
  <sheetFormatPr defaultRowHeight="13.5"/>
  <cols>
    <col min="1" max="1" width="21.25" customWidth="1"/>
    <col min="2" max="2" width="25" customWidth="1"/>
    <col min="3" max="3" width="19.375" customWidth="1"/>
  </cols>
  <sheetData>
    <row r="1" spans="1:3" ht="20.25">
      <c r="A1" s="189" t="s">
        <v>293</v>
      </c>
      <c r="B1" s="189"/>
      <c r="C1" s="189"/>
    </row>
    <row r="2" spans="1:3" ht="24.95" customHeight="1">
      <c r="A2" s="127" t="s">
        <v>191</v>
      </c>
      <c r="B2" s="127" t="s">
        <v>290</v>
      </c>
      <c r="C2" s="127" t="s">
        <v>291</v>
      </c>
    </row>
    <row r="3" spans="1:3" ht="24.95" customHeight="1">
      <c r="A3" s="128" t="s">
        <v>2</v>
      </c>
      <c r="B3" s="129">
        <v>300101</v>
      </c>
      <c r="C3" s="126">
        <f>B3*3</f>
        <v>900303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AO8"/>
  <sheetViews>
    <sheetView topLeftCell="B1" workbookViewId="0">
      <pane xSplit="2" ySplit="3" topLeftCell="D4" activePane="bottomRight" state="frozen"/>
      <selection activeCell="A2" sqref="A2:XFD73"/>
      <selection pane="topRight" activeCell="A2" sqref="A2:XFD73"/>
      <selection pane="bottomLeft" activeCell="A2" sqref="A2:XFD73"/>
      <selection pane="bottomRight" activeCell="A2" sqref="A2:XFD73"/>
    </sheetView>
  </sheetViews>
  <sheetFormatPr defaultColWidth="9" defaultRowHeight="11.25"/>
  <cols>
    <col min="1" max="1" width="8.125" style="51" hidden="1" customWidth="1"/>
    <col min="2" max="2" width="20.375" style="51" customWidth="1"/>
    <col min="3" max="3" width="5.75" style="51" customWidth="1"/>
    <col min="4" max="4" width="9.75" style="51" hidden="1" customWidth="1"/>
    <col min="5" max="24" width="9" style="51" hidden="1" customWidth="1"/>
    <col min="25" max="25" width="8.375" style="51" hidden="1" customWidth="1"/>
    <col min="26" max="26" width="9.625" style="51" hidden="1" customWidth="1"/>
    <col min="27" max="27" width="9.375" style="51" hidden="1" customWidth="1"/>
    <col min="28" max="28" width="12.5" style="51" hidden="1" customWidth="1"/>
    <col min="29" max="29" width="9.875" style="51" hidden="1" customWidth="1"/>
    <col min="30" max="30" width="11.625" style="51" customWidth="1"/>
    <col min="31" max="31" width="10.5" style="51" customWidth="1"/>
    <col min="32" max="32" width="10.875" style="51" customWidth="1"/>
    <col min="33" max="33" width="11.375" style="51" customWidth="1"/>
    <col min="34" max="34" width="11.625" style="51" customWidth="1"/>
    <col min="35" max="35" width="11.375" style="51" customWidth="1"/>
    <col min="36" max="36" width="9.125" style="51" bestFit="1" customWidth="1"/>
    <col min="37" max="37" width="11" style="51" customWidth="1"/>
    <col min="38" max="39" width="12.125" style="51" customWidth="1"/>
    <col min="40" max="40" width="12.5" style="51" customWidth="1"/>
    <col min="41" max="41" width="12.75" style="63" customWidth="1"/>
    <col min="42" max="16384" width="9" style="51"/>
  </cols>
  <sheetData>
    <row r="1" spans="1:41" ht="18.75">
      <c r="A1" s="190" t="s">
        <v>230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  <c r="AA1" s="191"/>
      <c r="AB1" s="191"/>
      <c r="AC1" s="191"/>
      <c r="AD1" s="191"/>
      <c r="AE1" s="191"/>
      <c r="AF1" s="191"/>
      <c r="AG1" s="191"/>
      <c r="AH1" s="191"/>
      <c r="AI1" s="191"/>
      <c r="AJ1" s="191"/>
      <c r="AK1" s="191"/>
      <c r="AL1" s="191"/>
      <c r="AM1" s="191"/>
      <c r="AN1" s="191"/>
      <c r="AO1" s="192"/>
    </row>
    <row r="2" spans="1:41" ht="11.25" customHeight="1">
      <c r="A2" s="193" t="s">
        <v>202</v>
      </c>
      <c r="B2" s="193" t="s">
        <v>203</v>
      </c>
      <c r="C2" s="193" t="s">
        <v>204</v>
      </c>
      <c r="D2" s="193" t="s">
        <v>205</v>
      </c>
      <c r="E2" s="193" t="s">
        <v>271</v>
      </c>
      <c r="F2" s="193"/>
      <c r="G2" s="193"/>
      <c r="H2" s="193"/>
      <c r="I2" s="193"/>
      <c r="J2" s="193" t="s">
        <v>272</v>
      </c>
      <c r="K2" s="193"/>
      <c r="L2" s="193"/>
      <c r="M2" s="193"/>
      <c r="N2" s="193"/>
      <c r="O2" s="196" t="s">
        <v>206</v>
      </c>
      <c r="P2" s="196"/>
      <c r="Q2" s="196"/>
      <c r="R2" s="196"/>
      <c r="S2" s="196"/>
      <c r="T2" s="196" t="s">
        <v>274</v>
      </c>
      <c r="U2" s="196"/>
      <c r="V2" s="196"/>
      <c r="W2" s="196"/>
      <c r="X2" s="196"/>
      <c r="Y2" s="196" t="s">
        <v>207</v>
      </c>
      <c r="Z2" s="196"/>
      <c r="AA2" s="196"/>
      <c r="AB2" s="196"/>
      <c r="AC2" s="196"/>
      <c r="AD2" s="193" t="s">
        <v>273</v>
      </c>
      <c r="AE2" s="193"/>
      <c r="AF2" s="193"/>
      <c r="AG2" s="193"/>
      <c r="AH2" s="193"/>
      <c r="AI2" s="193"/>
      <c r="AJ2" s="193"/>
      <c r="AK2" s="193"/>
      <c r="AL2" s="193"/>
      <c r="AM2" s="193"/>
      <c r="AN2" s="193"/>
      <c r="AO2" s="194" t="s">
        <v>229</v>
      </c>
    </row>
    <row r="3" spans="1:41" ht="33.75">
      <c r="A3" s="193"/>
      <c r="B3" s="193"/>
      <c r="C3" s="193"/>
      <c r="D3" s="193"/>
      <c r="E3" s="52" t="s">
        <v>208</v>
      </c>
      <c r="F3" s="52" t="s">
        <v>209</v>
      </c>
      <c r="G3" s="52" t="s">
        <v>210</v>
      </c>
      <c r="H3" s="52" t="s">
        <v>211</v>
      </c>
      <c r="I3" s="53" t="s">
        <v>12</v>
      </c>
      <c r="J3" s="52" t="s">
        <v>208</v>
      </c>
      <c r="K3" s="52" t="s">
        <v>209</v>
      </c>
      <c r="L3" s="52" t="s">
        <v>210</v>
      </c>
      <c r="M3" s="52" t="s">
        <v>211</v>
      </c>
      <c r="N3" s="53" t="s">
        <v>12</v>
      </c>
      <c r="O3" s="52" t="s">
        <v>208</v>
      </c>
      <c r="P3" s="52" t="s">
        <v>209</v>
      </c>
      <c r="Q3" s="52" t="s">
        <v>210</v>
      </c>
      <c r="R3" s="52" t="s">
        <v>211</v>
      </c>
      <c r="S3" s="53" t="s">
        <v>12</v>
      </c>
      <c r="T3" s="52" t="s">
        <v>208</v>
      </c>
      <c r="U3" s="52" t="s">
        <v>209</v>
      </c>
      <c r="V3" s="52" t="s">
        <v>210</v>
      </c>
      <c r="W3" s="52" t="s">
        <v>211</v>
      </c>
      <c r="X3" s="53" t="s">
        <v>12</v>
      </c>
      <c r="Y3" s="52" t="s">
        <v>208</v>
      </c>
      <c r="Z3" s="52" t="s">
        <v>209</v>
      </c>
      <c r="AA3" s="52" t="s">
        <v>210</v>
      </c>
      <c r="AB3" s="52" t="s">
        <v>211</v>
      </c>
      <c r="AC3" s="53" t="s">
        <v>12</v>
      </c>
      <c r="AD3" s="52" t="s">
        <v>212</v>
      </c>
      <c r="AE3" s="52" t="s">
        <v>213</v>
      </c>
      <c r="AF3" s="52" t="s">
        <v>214</v>
      </c>
      <c r="AG3" s="52" t="s">
        <v>215</v>
      </c>
      <c r="AH3" s="52" t="s">
        <v>216</v>
      </c>
      <c r="AI3" s="52" t="s">
        <v>217</v>
      </c>
      <c r="AJ3" s="52" t="s">
        <v>218</v>
      </c>
      <c r="AK3" s="52" t="s">
        <v>219</v>
      </c>
      <c r="AL3" s="52" t="s">
        <v>220</v>
      </c>
      <c r="AM3" s="52" t="s">
        <v>221</v>
      </c>
      <c r="AN3" s="53" t="s">
        <v>222</v>
      </c>
      <c r="AO3" s="195"/>
    </row>
    <row r="4" spans="1:41" ht="17.100000000000001" customHeight="1">
      <c r="A4" s="54" t="s">
        <v>2</v>
      </c>
      <c r="B4" s="62" t="s">
        <v>225</v>
      </c>
      <c r="C4" s="55" t="s">
        <v>223</v>
      </c>
      <c r="D4" s="56">
        <v>2</v>
      </c>
      <c r="E4" s="61">
        <v>4</v>
      </c>
      <c r="F4" s="61">
        <v>3</v>
      </c>
      <c r="G4" s="61">
        <v>27.67</v>
      </c>
      <c r="H4" s="61">
        <v>3</v>
      </c>
      <c r="I4" s="57">
        <f t="shared" ref="I4:I7" si="0">SUM(E4:H4)</f>
        <v>37.67</v>
      </c>
      <c r="J4" s="56">
        <v>0.67</v>
      </c>
      <c r="K4" s="56">
        <v>0</v>
      </c>
      <c r="L4" s="56">
        <v>0</v>
      </c>
      <c r="M4" s="56">
        <v>0</v>
      </c>
      <c r="N4" s="57">
        <f t="shared" ref="N4:N7" si="1">SUM(J4:M4)</f>
        <v>0.67</v>
      </c>
      <c r="O4" s="57">
        <f>E4+J4</f>
        <v>4.67</v>
      </c>
      <c r="P4" s="57">
        <f t="shared" ref="P4:R7" si="2">F4+K4</f>
        <v>3</v>
      </c>
      <c r="Q4" s="57">
        <f t="shared" si="2"/>
        <v>27.67</v>
      </c>
      <c r="R4" s="57">
        <f t="shared" si="2"/>
        <v>3</v>
      </c>
      <c r="S4" s="57">
        <f t="shared" ref="S4:S7" si="3">SUM(O4:R4)</f>
        <v>38.340000000000003</v>
      </c>
      <c r="T4" s="56">
        <v>3.25</v>
      </c>
      <c r="U4" s="56">
        <v>3</v>
      </c>
      <c r="V4" s="56">
        <v>27.42</v>
      </c>
      <c r="W4" s="56">
        <v>3.08</v>
      </c>
      <c r="X4" s="57">
        <f t="shared" ref="X4:X7" si="4">SUM(T4:W4)</f>
        <v>36.75</v>
      </c>
      <c r="Y4" s="56">
        <v>3.25</v>
      </c>
      <c r="Z4" s="56">
        <v>3</v>
      </c>
      <c r="AA4" s="56">
        <v>27.42</v>
      </c>
      <c r="AB4" s="56">
        <v>3.08</v>
      </c>
      <c r="AC4" s="57">
        <f t="shared" ref="AC4:AC7" si="5">SUM(Y4:AB4)</f>
        <v>36.75</v>
      </c>
      <c r="AD4" s="57">
        <f t="shared" ref="AD4:AD7" si="6">(Y4*6400+Z4*5550+AA4*5094+AB4*4300)*12</f>
        <v>2284457.7600000002</v>
      </c>
      <c r="AE4" s="57">
        <f t="shared" ref="AE4:AE7" si="7">AC4*4320</f>
        <v>158760</v>
      </c>
      <c r="AF4" s="57">
        <f t="shared" ref="AF4:AF7" si="8">AC4*6000</f>
        <v>220500</v>
      </c>
      <c r="AG4" s="57">
        <f t="shared" ref="AG4:AG7" si="9">AC4*2400</f>
        <v>88200</v>
      </c>
      <c r="AH4" s="57">
        <f t="shared" ref="AH4:AH7" si="10">AC4*9400</f>
        <v>345450</v>
      </c>
      <c r="AI4" s="57">
        <f t="shared" ref="AI4:AI7" si="11">AC4*800</f>
        <v>29400</v>
      </c>
      <c r="AJ4" s="57">
        <f t="shared" ref="AJ4:AJ7" si="12">D4*50*200</f>
        <v>20000</v>
      </c>
      <c r="AK4" s="57">
        <f t="shared" ref="AK4:AK7" si="13">AC4*960</f>
        <v>35280</v>
      </c>
      <c r="AL4" s="57">
        <f t="shared" ref="AL4:AL7" si="14">ROUND((7310*12)*0.35256,2)*AC4</f>
        <v>1136551.08</v>
      </c>
      <c r="AM4" s="57"/>
      <c r="AN4" s="57">
        <f t="shared" ref="AN4:AN7" si="15">SUM(AD4:AM4)</f>
        <v>4318598.84</v>
      </c>
      <c r="AO4" s="64">
        <f t="shared" ref="AO4:AO7" si="16">ROUND(AN4*0.8,0)</f>
        <v>3454879</v>
      </c>
    </row>
    <row r="5" spans="1:41" ht="17.100000000000001" customHeight="1">
      <c r="A5" s="54" t="s">
        <v>2</v>
      </c>
      <c r="B5" s="62" t="s">
        <v>187</v>
      </c>
      <c r="C5" s="55" t="s">
        <v>223</v>
      </c>
      <c r="D5" s="56">
        <v>3</v>
      </c>
      <c r="E5" s="61">
        <v>0</v>
      </c>
      <c r="F5" s="61">
        <v>2</v>
      </c>
      <c r="G5" s="61">
        <v>33.67</v>
      </c>
      <c r="H5" s="61">
        <v>4</v>
      </c>
      <c r="I5" s="57">
        <f t="shared" si="0"/>
        <v>39.67</v>
      </c>
      <c r="J5" s="56">
        <v>0</v>
      </c>
      <c r="K5" s="56">
        <v>0</v>
      </c>
      <c r="L5" s="56">
        <v>0</v>
      </c>
      <c r="M5" s="56">
        <v>0</v>
      </c>
      <c r="N5" s="57">
        <f t="shared" si="1"/>
        <v>0</v>
      </c>
      <c r="O5" s="57">
        <f>E5+J5</f>
        <v>0</v>
      </c>
      <c r="P5" s="57">
        <f t="shared" si="2"/>
        <v>2</v>
      </c>
      <c r="Q5" s="57">
        <f t="shared" si="2"/>
        <v>33.67</v>
      </c>
      <c r="R5" s="57">
        <f t="shared" si="2"/>
        <v>4</v>
      </c>
      <c r="S5" s="57">
        <f t="shared" si="3"/>
        <v>39.67</v>
      </c>
      <c r="T5" s="56">
        <v>0.08</v>
      </c>
      <c r="U5" s="56">
        <v>3</v>
      </c>
      <c r="V5" s="56">
        <v>33.67</v>
      </c>
      <c r="W5" s="56">
        <v>3.75</v>
      </c>
      <c r="X5" s="57">
        <f t="shared" si="4"/>
        <v>40.5</v>
      </c>
      <c r="Y5" s="57">
        <v>0</v>
      </c>
      <c r="Z5" s="57">
        <v>2</v>
      </c>
      <c r="AA5" s="57">
        <v>33.67</v>
      </c>
      <c r="AB5" s="57">
        <v>4</v>
      </c>
      <c r="AC5" s="57">
        <f t="shared" si="5"/>
        <v>39.67</v>
      </c>
      <c r="AD5" s="57">
        <f t="shared" si="6"/>
        <v>2397779.7600000002</v>
      </c>
      <c r="AE5" s="57">
        <f t="shared" si="7"/>
        <v>171374.4</v>
      </c>
      <c r="AF5" s="57">
        <f t="shared" si="8"/>
        <v>238020</v>
      </c>
      <c r="AG5" s="57">
        <f t="shared" si="9"/>
        <v>95208</v>
      </c>
      <c r="AH5" s="57">
        <f t="shared" si="10"/>
        <v>372898</v>
      </c>
      <c r="AI5" s="57">
        <f t="shared" si="11"/>
        <v>31736</v>
      </c>
      <c r="AJ5" s="57">
        <f t="shared" si="12"/>
        <v>30000</v>
      </c>
      <c r="AK5" s="57">
        <f t="shared" si="13"/>
        <v>38083.200000000004</v>
      </c>
      <c r="AL5" s="57">
        <f t="shared" si="14"/>
        <v>1226856.6352000001</v>
      </c>
      <c r="AM5" s="57"/>
      <c r="AN5" s="57">
        <f t="shared" si="15"/>
        <v>4601955.9952000007</v>
      </c>
      <c r="AO5" s="64">
        <f t="shared" si="16"/>
        <v>3681565</v>
      </c>
    </row>
    <row r="6" spans="1:41" ht="17.100000000000001" customHeight="1">
      <c r="A6" s="54" t="s">
        <v>2</v>
      </c>
      <c r="B6" s="55" t="s">
        <v>226</v>
      </c>
      <c r="C6" s="55" t="s">
        <v>224</v>
      </c>
      <c r="D6" s="56"/>
      <c r="E6" s="61">
        <v>0</v>
      </c>
      <c r="F6" s="61">
        <v>6</v>
      </c>
      <c r="G6" s="61">
        <v>0</v>
      </c>
      <c r="H6" s="61">
        <v>8.67</v>
      </c>
      <c r="I6" s="57">
        <f t="shared" si="0"/>
        <v>14.67</v>
      </c>
      <c r="J6" s="56">
        <v>0</v>
      </c>
      <c r="K6" s="56">
        <v>0</v>
      </c>
      <c r="L6" s="56">
        <v>0</v>
      </c>
      <c r="M6" s="56">
        <v>0</v>
      </c>
      <c r="N6" s="57">
        <f t="shared" si="1"/>
        <v>0</v>
      </c>
      <c r="O6" s="57">
        <f>E6+J6</f>
        <v>0</v>
      </c>
      <c r="P6" s="57">
        <f t="shared" si="2"/>
        <v>6</v>
      </c>
      <c r="Q6" s="57">
        <f t="shared" si="2"/>
        <v>0</v>
      </c>
      <c r="R6" s="57">
        <f t="shared" si="2"/>
        <v>8.67</v>
      </c>
      <c r="S6" s="57">
        <f t="shared" si="3"/>
        <v>14.67</v>
      </c>
      <c r="T6" s="56">
        <v>0</v>
      </c>
      <c r="U6" s="56">
        <v>5</v>
      </c>
      <c r="V6" s="56">
        <v>0</v>
      </c>
      <c r="W6" s="56">
        <v>0</v>
      </c>
      <c r="X6" s="57">
        <f t="shared" si="4"/>
        <v>5</v>
      </c>
      <c r="Y6" s="56">
        <v>0</v>
      </c>
      <c r="Z6" s="56">
        <v>5</v>
      </c>
      <c r="AA6" s="56">
        <v>0</v>
      </c>
      <c r="AB6" s="56">
        <v>0</v>
      </c>
      <c r="AC6" s="57">
        <f t="shared" si="5"/>
        <v>5</v>
      </c>
      <c r="AD6" s="57">
        <f t="shared" si="6"/>
        <v>333000</v>
      </c>
      <c r="AE6" s="57">
        <f t="shared" si="7"/>
        <v>21600</v>
      </c>
      <c r="AF6" s="57">
        <f t="shared" si="8"/>
        <v>30000</v>
      </c>
      <c r="AG6" s="57">
        <f t="shared" si="9"/>
        <v>12000</v>
      </c>
      <c r="AH6" s="57">
        <f t="shared" si="10"/>
        <v>47000</v>
      </c>
      <c r="AI6" s="57">
        <f t="shared" si="11"/>
        <v>4000</v>
      </c>
      <c r="AJ6" s="57">
        <f t="shared" si="12"/>
        <v>0</v>
      </c>
      <c r="AK6" s="57">
        <f t="shared" si="13"/>
        <v>4800</v>
      </c>
      <c r="AL6" s="57">
        <f t="shared" si="14"/>
        <v>154632.80000000002</v>
      </c>
      <c r="AM6" s="57"/>
      <c r="AN6" s="57">
        <f t="shared" si="15"/>
        <v>607032.80000000005</v>
      </c>
      <c r="AO6" s="64">
        <f t="shared" si="16"/>
        <v>485626</v>
      </c>
    </row>
    <row r="7" spans="1:41" ht="17.100000000000001" customHeight="1">
      <c r="A7" s="54" t="s">
        <v>2</v>
      </c>
      <c r="B7" s="55" t="s">
        <v>227</v>
      </c>
      <c r="C7" s="55" t="s">
        <v>223</v>
      </c>
      <c r="D7" s="56">
        <v>1</v>
      </c>
      <c r="E7" s="61">
        <v>0</v>
      </c>
      <c r="F7" s="61">
        <v>1.33</v>
      </c>
      <c r="G7" s="61">
        <v>13</v>
      </c>
      <c r="H7" s="61">
        <v>2</v>
      </c>
      <c r="I7" s="57">
        <f t="shared" si="0"/>
        <v>16.329999999999998</v>
      </c>
      <c r="J7" s="56">
        <v>1</v>
      </c>
      <c r="K7" s="56">
        <v>1</v>
      </c>
      <c r="L7" s="56">
        <v>1.5</v>
      </c>
      <c r="M7" s="56">
        <v>0</v>
      </c>
      <c r="N7" s="57">
        <f t="shared" si="1"/>
        <v>3.5</v>
      </c>
      <c r="O7" s="57">
        <f>E7+J7</f>
        <v>1</v>
      </c>
      <c r="P7" s="57">
        <f t="shared" si="2"/>
        <v>2.33</v>
      </c>
      <c r="Q7" s="57">
        <f t="shared" si="2"/>
        <v>14.5</v>
      </c>
      <c r="R7" s="57">
        <f t="shared" si="2"/>
        <v>2</v>
      </c>
      <c r="S7" s="57">
        <f t="shared" si="3"/>
        <v>19.829999999999998</v>
      </c>
      <c r="T7" s="56">
        <v>0.57999999999999996</v>
      </c>
      <c r="U7" s="56">
        <v>2.17</v>
      </c>
      <c r="V7" s="56">
        <v>11.5</v>
      </c>
      <c r="W7" s="56">
        <v>5.42</v>
      </c>
      <c r="X7" s="57">
        <f t="shared" si="4"/>
        <v>19.670000000000002</v>
      </c>
      <c r="Y7" s="56">
        <v>0.57999999999999996</v>
      </c>
      <c r="Z7" s="56">
        <v>2.17</v>
      </c>
      <c r="AA7" s="56">
        <v>11.5</v>
      </c>
      <c r="AB7" s="56">
        <v>5.42</v>
      </c>
      <c r="AC7" s="57">
        <f t="shared" si="5"/>
        <v>19.670000000000002</v>
      </c>
      <c r="AD7" s="57">
        <f t="shared" si="6"/>
        <v>1171710</v>
      </c>
      <c r="AE7" s="57">
        <f t="shared" si="7"/>
        <v>84974.400000000009</v>
      </c>
      <c r="AF7" s="57">
        <f t="shared" si="8"/>
        <v>118020.00000000001</v>
      </c>
      <c r="AG7" s="57">
        <f t="shared" si="9"/>
        <v>47208.000000000007</v>
      </c>
      <c r="AH7" s="57">
        <f t="shared" si="10"/>
        <v>184898.00000000003</v>
      </c>
      <c r="AI7" s="57">
        <f t="shared" si="11"/>
        <v>15736.000000000002</v>
      </c>
      <c r="AJ7" s="57">
        <f t="shared" si="12"/>
        <v>10000</v>
      </c>
      <c r="AK7" s="57">
        <f t="shared" si="13"/>
        <v>18883.2</v>
      </c>
      <c r="AL7" s="57">
        <f t="shared" si="14"/>
        <v>608325.43520000007</v>
      </c>
      <c r="AM7" s="57"/>
      <c r="AN7" s="57">
        <f t="shared" si="15"/>
        <v>2259755.0351999998</v>
      </c>
      <c r="AO7" s="64">
        <f t="shared" si="16"/>
        <v>1807804</v>
      </c>
    </row>
    <row r="8" spans="1:41" s="60" customFormat="1" ht="17.100000000000001" customHeight="1">
      <c r="A8" s="58"/>
      <c r="B8" s="58" t="s">
        <v>228</v>
      </c>
      <c r="C8" s="58"/>
      <c r="D8" s="59">
        <f>SUM(D4:D7)</f>
        <v>6</v>
      </c>
      <c r="E8" s="59">
        <f t="shared" ref="E8:AO8" si="17">SUM(E4:E7)</f>
        <v>4</v>
      </c>
      <c r="F8" s="59">
        <f t="shared" si="17"/>
        <v>12.33</v>
      </c>
      <c r="G8" s="59">
        <f t="shared" si="17"/>
        <v>74.34</v>
      </c>
      <c r="H8" s="59">
        <f t="shared" si="17"/>
        <v>17.670000000000002</v>
      </c>
      <c r="I8" s="59">
        <f t="shared" si="17"/>
        <v>108.34</v>
      </c>
      <c r="J8" s="59">
        <f t="shared" si="17"/>
        <v>1.67</v>
      </c>
      <c r="K8" s="59">
        <f t="shared" si="17"/>
        <v>1</v>
      </c>
      <c r="L8" s="59">
        <f t="shared" si="17"/>
        <v>1.5</v>
      </c>
      <c r="M8" s="59">
        <f t="shared" si="17"/>
        <v>0</v>
      </c>
      <c r="N8" s="59">
        <f t="shared" si="17"/>
        <v>4.17</v>
      </c>
      <c r="O8" s="59">
        <f t="shared" si="17"/>
        <v>5.67</v>
      </c>
      <c r="P8" s="59">
        <f t="shared" si="17"/>
        <v>13.33</v>
      </c>
      <c r="Q8" s="59">
        <f t="shared" si="17"/>
        <v>75.84</v>
      </c>
      <c r="R8" s="59">
        <f t="shared" si="17"/>
        <v>17.670000000000002</v>
      </c>
      <c r="S8" s="59">
        <f t="shared" si="17"/>
        <v>112.51</v>
      </c>
      <c r="T8" s="59">
        <f t="shared" si="17"/>
        <v>3.91</v>
      </c>
      <c r="U8" s="59">
        <f t="shared" si="17"/>
        <v>13.17</v>
      </c>
      <c r="V8" s="59">
        <f t="shared" si="17"/>
        <v>72.59</v>
      </c>
      <c r="W8" s="59">
        <f t="shared" si="17"/>
        <v>12.25</v>
      </c>
      <c r="X8" s="59">
        <f t="shared" si="17"/>
        <v>101.92</v>
      </c>
      <c r="Y8" s="59">
        <f t="shared" si="17"/>
        <v>3.83</v>
      </c>
      <c r="Z8" s="59">
        <f t="shared" si="17"/>
        <v>12.17</v>
      </c>
      <c r="AA8" s="59">
        <f t="shared" si="17"/>
        <v>72.59</v>
      </c>
      <c r="AB8" s="59">
        <f t="shared" si="17"/>
        <v>12.5</v>
      </c>
      <c r="AC8" s="59">
        <f t="shared" si="17"/>
        <v>101.09</v>
      </c>
      <c r="AD8" s="59">
        <f t="shared" si="17"/>
        <v>6186947.5200000005</v>
      </c>
      <c r="AE8" s="59">
        <f t="shared" si="17"/>
        <v>436708.80000000005</v>
      </c>
      <c r="AF8" s="59">
        <f t="shared" si="17"/>
        <v>606540</v>
      </c>
      <c r="AG8" s="59">
        <f t="shared" si="17"/>
        <v>242616</v>
      </c>
      <c r="AH8" s="59">
        <f t="shared" si="17"/>
        <v>950246</v>
      </c>
      <c r="AI8" s="59">
        <f t="shared" si="17"/>
        <v>80872</v>
      </c>
      <c r="AJ8" s="59">
        <f t="shared" si="17"/>
        <v>60000</v>
      </c>
      <c r="AK8" s="59">
        <f t="shared" si="17"/>
        <v>97046.400000000009</v>
      </c>
      <c r="AL8" s="59">
        <f t="shared" si="17"/>
        <v>3126365.9504000004</v>
      </c>
      <c r="AM8" s="59">
        <f t="shared" si="17"/>
        <v>0</v>
      </c>
      <c r="AN8" s="59">
        <f t="shared" si="17"/>
        <v>11787342.670400001</v>
      </c>
      <c r="AO8" s="59">
        <f t="shared" si="17"/>
        <v>9429874</v>
      </c>
    </row>
  </sheetData>
  <mergeCells count="12">
    <mergeCell ref="A1:AO1"/>
    <mergeCell ref="AD2:AN2"/>
    <mergeCell ref="AO2:AO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A2" sqref="A2:XFD73"/>
    </sheetView>
  </sheetViews>
  <sheetFormatPr defaultRowHeight="13.5" outlineLevelRow="2"/>
  <cols>
    <col min="1" max="1" width="9.625" style="119" customWidth="1"/>
    <col min="2" max="2" width="26.875" style="119" customWidth="1"/>
    <col min="3" max="3" width="13.5" style="119" customWidth="1"/>
    <col min="4" max="4" width="14" style="119" customWidth="1"/>
    <col min="5" max="7" width="15.625" style="119" customWidth="1"/>
    <col min="8" max="8" width="11.75" style="118" customWidth="1"/>
    <col min="9" max="9" width="12.875" style="117" customWidth="1"/>
    <col min="10" max="16384" width="9" style="119"/>
  </cols>
  <sheetData>
    <row r="1" spans="1:9" ht="35.25" customHeight="1">
      <c r="A1" s="197" t="s">
        <v>350</v>
      </c>
      <c r="B1" s="197"/>
      <c r="C1" s="197"/>
      <c r="D1" s="197"/>
      <c r="E1" s="197"/>
      <c r="F1" s="198"/>
      <c r="G1" s="198"/>
      <c r="H1" s="192"/>
      <c r="I1" s="192"/>
    </row>
    <row r="2" spans="1:9" s="164" customFormat="1" ht="18" customHeight="1">
      <c r="A2" s="161" t="s">
        <v>288</v>
      </c>
      <c r="B2" s="162" t="s">
        <v>233</v>
      </c>
      <c r="C2" s="162" t="s">
        <v>348</v>
      </c>
      <c r="D2" s="162" t="s">
        <v>349</v>
      </c>
      <c r="E2" s="162" t="s">
        <v>351</v>
      </c>
      <c r="F2" s="163" t="s">
        <v>352</v>
      </c>
      <c r="G2" s="163" t="s">
        <v>353</v>
      </c>
      <c r="H2" s="161" t="s">
        <v>347</v>
      </c>
      <c r="I2" s="161" t="s">
        <v>346</v>
      </c>
    </row>
    <row r="3" spans="1:9" ht="18" customHeight="1" outlineLevel="2">
      <c r="A3" s="120" t="s">
        <v>289</v>
      </c>
      <c r="B3" s="121" t="s">
        <v>186</v>
      </c>
      <c r="C3" s="122">
        <v>1402.5</v>
      </c>
      <c r="D3" s="123">
        <v>3187.5</v>
      </c>
      <c r="E3" s="123">
        <f>C3+D3</f>
        <v>4590</v>
      </c>
      <c r="F3" s="124"/>
      <c r="G3" s="124">
        <f>E3-F3</f>
        <v>4590</v>
      </c>
      <c r="H3" s="120"/>
      <c r="I3" s="116">
        <f>G3+H3</f>
        <v>4590</v>
      </c>
    </row>
    <row r="4" spans="1:9" ht="18" customHeight="1" outlineLevel="1">
      <c r="A4" s="125" t="s">
        <v>195</v>
      </c>
      <c r="B4" s="121"/>
      <c r="C4" s="122">
        <f t="shared" ref="C4:I4" si="0">SUBTOTAL(9,C3:C3)</f>
        <v>1402.5</v>
      </c>
      <c r="D4" s="123">
        <f t="shared" si="0"/>
        <v>3187.5</v>
      </c>
      <c r="E4" s="123">
        <f t="shared" si="0"/>
        <v>4590</v>
      </c>
      <c r="F4" s="124">
        <f t="shared" si="0"/>
        <v>0</v>
      </c>
      <c r="G4" s="124">
        <f t="shared" si="0"/>
        <v>4590</v>
      </c>
      <c r="H4" s="120">
        <f t="shared" si="0"/>
        <v>0</v>
      </c>
      <c r="I4" s="116">
        <f t="shared" si="0"/>
        <v>4590</v>
      </c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I4"/>
  <sheetViews>
    <sheetView topLeftCell="B1" workbookViewId="0">
      <selection activeCell="A2" sqref="A2:XFD73"/>
    </sheetView>
  </sheetViews>
  <sheetFormatPr defaultColWidth="9" defaultRowHeight="13.5"/>
  <cols>
    <col min="1" max="1" width="5.25" style="67" hidden="1" customWidth="1"/>
    <col min="2" max="2" width="10.875" style="67" customWidth="1"/>
    <col min="3" max="3" width="15.625" style="67" customWidth="1"/>
    <col min="4" max="4" width="26.875" style="67" customWidth="1"/>
    <col min="5" max="5" width="8.375" style="67" customWidth="1"/>
    <col min="6" max="6" width="8.625" style="67" customWidth="1"/>
    <col min="7" max="7" width="16.375" style="67" customWidth="1"/>
    <col min="8" max="8" width="17.5" style="67" customWidth="1"/>
    <col min="9" max="9" width="11.375" style="67" customWidth="1"/>
    <col min="10" max="10" width="15.375" style="67" bestFit="1" customWidth="1"/>
    <col min="11" max="16384" width="9" style="67"/>
  </cols>
  <sheetData>
    <row r="1" spans="1:9" ht="18.75">
      <c r="A1" s="199" t="s">
        <v>231</v>
      </c>
      <c r="B1" s="199"/>
      <c r="C1" s="199"/>
      <c r="D1" s="199"/>
      <c r="E1" s="199"/>
      <c r="F1" s="199"/>
      <c r="G1" s="199"/>
      <c r="H1" s="199"/>
      <c r="I1" s="199"/>
    </row>
    <row r="2" spans="1:9" ht="24">
      <c r="A2" s="68" t="s">
        <v>181</v>
      </c>
      <c r="B2" s="69" t="s">
        <v>202</v>
      </c>
      <c r="C2" s="69" t="s">
        <v>232</v>
      </c>
      <c r="D2" s="69" t="s">
        <v>233</v>
      </c>
      <c r="E2" s="69" t="s">
        <v>184</v>
      </c>
      <c r="F2" s="69" t="s">
        <v>182</v>
      </c>
      <c r="G2" s="70" t="s">
        <v>234</v>
      </c>
      <c r="H2" s="70" t="s">
        <v>235</v>
      </c>
      <c r="I2" s="69" t="s">
        <v>12</v>
      </c>
    </row>
    <row r="3" spans="1:9">
      <c r="A3" s="71" t="s">
        <v>236</v>
      </c>
      <c r="B3" s="72" t="s">
        <v>2</v>
      </c>
      <c r="C3" s="72" t="s">
        <v>237</v>
      </c>
      <c r="D3" s="72" t="s">
        <v>186</v>
      </c>
      <c r="E3" s="72">
        <v>824</v>
      </c>
      <c r="F3" s="72">
        <v>731</v>
      </c>
      <c r="G3" s="72">
        <f>E3*175*2</f>
        <v>288400</v>
      </c>
      <c r="H3" s="72">
        <f>F3*215*2</f>
        <v>314330</v>
      </c>
      <c r="I3" s="72">
        <f>G3+H3</f>
        <v>602730</v>
      </c>
    </row>
    <row r="4" spans="1:9">
      <c r="A4" s="71"/>
      <c r="B4" s="73" t="s">
        <v>195</v>
      </c>
      <c r="C4" s="73"/>
      <c r="D4" s="73"/>
      <c r="E4" s="73">
        <f>SUBTOTAL(9,E3:E3)</f>
        <v>824</v>
      </c>
      <c r="F4" s="73">
        <f>SUBTOTAL(9,F3:F3)</f>
        <v>731</v>
      </c>
      <c r="G4" s="73">
        <f>SUBTOTAL(9,G3:G3)</f>
        <v>288400</v>
      </c>
      <c r="H4" s="73">
        <f>SUBTOTAL(9,H3:H3)</f>
        <v>314330</v>
      </c>
      <c r="I4" s="73">
        <f>SUBTOTAL(9,I3:I3)</f>
        <v>602730</v>
      </c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L7"/>
  <sheetViews>
    <sheetView workbookViewId="0">
      <selection activeCell="A2" sqref="A2:XFD73"/>
    </sheetView>
  </sheetViews>
  <sheetFormatPr defaultRowHeight="13.5"/>
  <cols>
    <col min="1" max="1" width="4.625" style="95" customWidth="1"/>
    <col min="2" max="2" width="20.375" style="96" customWidth="1"/>
    <col min="3" max="3" width="8.625" style="96" customWidth="1"/>
    <col min="4" max="12" width="10.625" style="85" customWidth="1"/>
    <col min="13" max="16384" width="9" style="85"/>
  </cols>
  <sheetData>
    <row r="1" spans="1:12" ht="28.5" customHeight="1">
      <c r="A1" s="200" t="s">
        <v>294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</row>
    <row r="2" spans="1:12" ht="13.5" customHeight="1">
      <c r="A2" s="201" t="s">
        <v>3</v>
      </c>
      <c r="B2" s="201" t="s">
        <v>239</v>
      </c>
      <c r="C2" s="201" t="s">
        <v>204</v>
      </c>
      <c r="D2" s="203" t="s">
        <v>244</v>
      </c>
      <c r="E2" s="203"/>
      <c r="F2" s="203"/>
      <c r="G2" s="203"/>
      <c r="H2" s="203"/>
      <c r="I2" s="203"/>
      <c r="J2" s="203"/>
      <c r="K2" s="203"/>
      <c r="L2" s="204" t="s">
        <v>245</v>
      </c>
    </row>
    <row r="3" spans="1:12" ht="13.5" customHeight="1">
      <c r="A3" s="201"/>
      <c r="B3" s="201"/>
      <c r="C3" s="201"/>
      <c r="D3" s="86" t="s">
        <v>246</v>
      </c>
      <c r="E3" s="86" t="s">
        <v>247</v>
      </c>
      <c r="F3" s="86" t="s">
        <v>248</v>
      </c>
      <c r="G3" s="86" t="s">
        <v>249</v>
      </c>
      <c r="H3" s="86" t="s">
        <v>250</v>
      </c>
      <c r="I3" s="86" t="s">
        <v>251</v>
      </c>
      <c r="J3" s="86" t="s">
        <v>252</v>
      </c>
      <c r="K3" s="87" t="s">
        <v>222</v>
      </c>
      <c r="L3" s="205"/>
    </row>
    <row r="4" spans="1:12">
      <c r="A4" s="202"/>
      <c r="B4" s="202"/>
      <c r="C4" s="202"/>
      <c r="D4" s="86" t="s">
        <v>253</v>
      </c>
      <c r="E4" s="86" t="s">
        <v>253</v>
      </c>
      <c r="F4" s="86" t="s">
        <v>253</v>
      </c>
      <c r="G4" s="86" t="s">
        <v>253</v>
      </c>
      <c r="H4" s="86" t="s">
        <v>253</v>
      </c>
      <c r="I4" s="86" t="s">
        <v>253</v>
      </c>
      <c r="J4" s="86" t="s">
        <v>253</v>
      </c>
      <c r="K4" s="86" t="s">
        <v>253</v>
      </c>
      <c r="L4" s="206" t="s">
        <v>253</v>
      </c>
    </row>
    <row r="5" spans="1:12" ht="18" customHeight="1">
      <c r="A5" s="88">
        <v>1</v>
      </c>
      <c r="B5" s="78" t="s">
        <v>242</v>
      </c>
      <c r="C5" s="78" t="s">
        <v>183</v>
      </c>
      <c r="D5" s="89"/>
      <c r="E5" s="90">
        <v>18318</v>
      </c>
      <c r="F5" s="89"/>
      <c r="G5" s="89"/>
      <c r="H5" s="90">
        <v>18004.5</v>
      </c>
      <c r="I5" s="89"/>
      <c r="J5" s="91">
        <v>1545</v>
      </c>
      <c r="K5" s="92">
        <f>D5+E5+F5+G5+H5+I5+J5</f>
        <v>37867.5</v>
      </c>
      <c r="L5" s="92">
        <f>K5*2</f>
        <v>75735</v>
      </c>
    </row>
    <row r="6" spans="1:12" ht="18" customHeight="1">
      <c r="A6" s="88"/>
      <c r="B6" s="78" t="s">
        <v>243</v>
      </c>
      <c r="C6" s="78" t="s">
        <v>183</v>
      </c>
      <c r="D6" s="89"/>
      <c r="E6" s="90">
        <v>10467</v>
      </c>
      <c r="F6" s="89"/>
      <c r="G6" s="89"/>
      <c r="H6" s="90">
        <v>7240</v>
      </c>
      <c r="I6" s="89"/>
      <c r="J6" s="93"/>
      <c r="K6" s="92">
        <f t="shared" ref="K6" si="0">D6+E6+F6+G6+H6+I6+J6</f>
        <v>17707</v>
      </c>
      <c r="L6" s="92">
        <f t="shared" ref="L6" si="1">K6*2</f>
        <v>35414</v>
      </c>
    </row>
    <row r="7" spans="1:12" ht="18" customHeight="1">
      <c r="A7" s="81"/>
      <c r="B7" s="82" t="s">
        <v>228</v>
      </c>
      <c r="C7" s="83"/>
      <c r="D7" s="94">
        <f t="shared" ref="D7:L7" si="2">SUM(D5:D6)</f>
        <v>0</v>
      </c>
      <c r="E7" s="94">
        <f t="shared" si="2"/>
        <v>28785</v>
      </c>
      <c r="F7" s="94">
        <f t="shared" si="2"/>
        <v>0</v>
      </c>
      <c r="G7" s="94">
        <f t="shared" si="2"/>
        <v>0</v>
      </c>
      <c r="H7" s="94">
        <f t="shared" si="2"/>
        <v>25244.5</v>
      </c>
      <c r="I7" s="94">
        <f t="shared" si="2"/>
        <v>0</v>
      </c>
      <c r="J7" s="94">
        <f t="shared" si="2"/>
        <v>1545</v>
      </c>
      <c r="K7" s="94">
        <f t="shared" si="2"/>
        <v>55574.5</v>
      </c>
      <c r="L7" s="94">
        <f t="shared" si="2"/>
        <v>111149</v>
      </c>
    </row>
  </sheetData>
  <mergeCells count="6">
    <mergeCell ref="A1:L1"/>
    <mergeCell ref="A2:A4"/>
    <mergeCell ref="B2:B4"/>
    <mergeCell ref="C2:C4"/>
    <mergeCell ref="D2:K2"/>
    <mergeCell ref="L2:L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E5"/>
  <sheetViews>
    <sheetView workbookViewId="0">
      <selection activeCell="F6" sqref="A6:XFD73"/>
    </sheetView>
  </sheetViews>
  <sheetFormatPr defaultRowHeight="13.5"/>
  <cols>
    <col min="1" max="1" width="12.25" style="74" customWidth="1"/>
    <col min="2" max="2" width="28.125" style="74" customWidth="1"/>
    <col min="3" max="3" width="11.75" style="74" customWidth="1"/>
    <col min="4" max="4" width="19.375" style="74" customWidth="1"/>
    <col min="5" max="5" width="20.375" style="74" customWidth="1"/>
    <col min="6" max="16384" width="9" style="74"/>
  </cols>
  <sheetData>
    <row r="1" spans="1:5" ht="18.75">
      <c r="A1" s="207" t="s">
        <v>238</v>
      </c>
      <c r="B1" s="207"/>
      <c r="C1" s="207"/>
      <c r="D1" s="207"/>
      <c r="E1" s="208"/>
    </row>
    <row r="2" spans="1:5" ht="18" customHeight="1">
      <c r="A2" s="75" t="s">
        <v>3</v>
      </c>
      <c r="B2" s="75" t="s">
        <v>239</v>
      </c>
      <c r="C2" s="75" t="s">
        <v>240</v>
      </c>
      <c r="D2" s="76" t="s">
        <v>241</v>
      </c>
      <c r="E2" s="75" t="s">
        <v>12</v>
      </c>
    </row>
    <row r="3" spans="1:5" ht="18" customHeight="1">
      <c r="A3" s="77">
        <v>1</v>
      </c>
      <c r="B3" s="78" t="s">
        <v>242</v>
      </c>
      <c r="C3" s="78" t="s">
        <v>183</v>
      </c>
      <c r="D3" s="79">
        <v>42750</v>
      </c>
      <c r="E3" s="80">
        <f>D3*2</f>
        <v>85500</v>
      </c>
    </row>
    <row r="4" spans="1:5" ht="18" customHeight="1">
      <c r="A4" s="77"/>
      <c r="B4" s="78" t="s">
        <v>243</v>
      </c>
      <c r="C4" s="78" t="s">
        <v>183</v>
      </c>
      <c r="D4" s="79">
        <v>59850</v>
      </c>
      <c r="E4" s="80">
        <f t="shared" ref="E4" si="0">D4*2</f>
        <v>119700</v>
      </c>
    </row>
    <row r="5" spans="1:5" ht="18" customHeight="1">
      <c r="A5" s="81"/>
      <c r="B5" s="82" t="s">
        <v>228</v>
      </c>
      <c r="C5" s="83"/>
      <c r="D5" s="84">
        <f>SUM(D3:D4)</f>
        <v>102600</v>
      </c>
      <c r="E5" s="84">
        <f>SUM(E3:E4)</f>
        <v>205200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N7"/>
  <sheetViews>
    <sheetView workbookViewId="0">
      <selection activeCell="F6" sqref="A6:XFD73"/>
    </sheetView>
  </sheetViews>
  <sheetFormatPr defaultColWidth="7" defaultRowHeight="13.5"/>
  <cols>
    <col min="1" max="1" width="27.25" style="107" customWidth="1"/>
    <col min="2" max="2" width="13.125" style="107" hidden="1" customWidth="1"/>
    <col min="3" max="3" width="6" style="107" hidden="1" customWidth="1"/>
    <col min="4" max="7" width="10.625" style="107" customWidth="1"/>
    <col min="8" max="9" width="10.625" style="107" hidden="1" customWidth="1"/>
    <col min="10" max="11" width="10.625" style="107" customWidth="1"/>
    <col min="12" max="12" width="10.625" style="108" customWidth="1"/>
    <col min="13" max="13" width="8.5" style="107" customWidth="1"/>
    <col min="14" max="14" width="10.625" style="107" customWidth="1"/>
    <col min="15" max="16384" width="7" style="107"/>
  </cols>
  <sheetData>
    <row r="1" spans="1:14" s="97" customFormat="1" ht="24.95" customHeight="1">
      <c r="A1" s="200" t="s">
        <v>254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</row>
    <row r="2" spans="1:14" s="97" customFormat="1" ht="23.25" customHeight="1">
      <c r="A2" s="201" t="s">
        <v>3</v>
      </c>
      <c r="B2" s="201" t="s">
        <v>239</v>
      </c>
      <c r="C2" s="201" t="s">
        <v>255</v>
      </c>
      <c r="D2" s="203" t="s">
        <v>256</v>
      </c>
      <c r="E2" s="203"/>
      <c r="F2" s="203"/>
      <c r="G2" s="203"/>
      <c r="H2" s="203"/>
      <c r="I2" s="203"/>
      <c r="J2" s="203"/>
      <c r="K2" s="203"/>
      <c r="L2" s="203"/>
      <c r="M2" s="203"/>
      <c r="N2" s="209" t="s">
        <v>257</v>
      </c>
    </row>
    <row r="3" spans="1:14" s="97" customFormat="1" ht="15.75" customHeight="1">
      <c r="A3" s="201"/>
      <c r="B3" s="201"/>
      <c r="C3" s="201"/>
      <c r="D3" s="98" t="s">
        <v>258</v>
      </c>
      <c r="E3" s="98" t="s">
        <v>259</v>
      </c>
      <c r="F3" s="98" t="s">
        <v>260</v>
      </c>
      <c r="G3" s="98" t="s">
        <v>261</v>
      </c>
      <c r="H3" s="98" t="s">
        <v>262</v>
      </c>
      <c r="I3" s="98" t="s">
        <v>263</v>
      </c>
      <c r="J3" s="98" t="s">
        <v>264</v>
      </c>
      <c r="K3" s="98" t="s">
        <v>265</v>
      </c>
      <c r="L3" s="98" t="s">
        <v>266</v>
      </c>
      <c r="M3" s="87" t="s">
        <v>12</v>
      </c>
      <c r="N3" s="209"/>
    </row>
    <row r="4" spans="1:14" s="99" customFormat="1" ht="20.100000000000001" customHeight="1">
      <c r="A4" s="202"/>
      <c r="B4" s="202"/>
      <c r="C4" s="202"/>
      <c r="D4" s="86" t="s">
        <v>253</v>
      </c>
      <c r="E4" s="86" t="s">
        <v>253</v>
      </c>
      <c r="F4" s="86" t="s">
        <v>253</v>
      </c>
      <c r="G4" s="86" t="s">
        <v>253</v>
      </c>
      <c r="H4" s="86" t="s">
        <v>253</v>
      </c>
      <c r="I4" s="86" t="s">
        <v>253</v>
      </c>
      <c r="J4" s="86" t="s">
        <v>253</v>
      </c>
      <c r="K4" s="86" t="s">
        <v>253</v>
      </c>
      <c r="L4" s="86" t="s">
        <v>253</v>
      </c>
      <c r="M4" s="86" t="s">
        <v>253</v>
      </c>
      <c r="N4" s="209" t="s">
        <v>253</v>
      </c>
    </row>
    <row r="5" spans="1:14" s="99" customFormat="1" ht="20.100000000000001" customHeight="1">
      <c r="A5" s="100" t="s">
        <v>267</v>
      </c>
      <c r="B5" s="101" t="s">
        <v>268</v>
      </c>
      <c r="C5" s="101" t="s">
        <v>185</v>
      </c>
      <c r="D5" s="102">
        <v>1056</v>
      </c>
      <c r="E5" s="102">
        <v>480</v>
      </c>
      <c r="F5" s="102">
        <v>35</v>
      </c>
      <c r="G5" s="102">
        <v>0</v>
      </c>
      <c r="H5" s="102">
        <v>0</v>
      </c>
      <c r="I5" s="102">
        <v>0</v>
      </c>
      <c r="J5" s="102">
        <v>100</v>
      </c>
      <c r="K5" s="102">
        <v>300</v>
      </c>
      <c r="L5" s="102">
        <v>0</v>
      </c>
      <c r="M5" s="65">
        <f>SUM(D5:L5)</f>
        <v>1971</v>
      </c>
      <c r="N5" s="66">
        <f>M5*2</f>
        <v>3942</v>
      </c>
    </row>
    <row r="6" spans="1:14" s="99" customFormat="1" ht="20.100000000000001" customHeight="1">
      <c r="A6" s="103" t="s">
        <v>269</v>
      </c>
      <c r="B6" s="101" t="s">
        <v>268</v>
      </c>
      <c r="C6" s="101" t="s">
        <v>185</v>
      </c>
      <c r="D6" s="102">
        <v>1920</v>
      </c>
      <c r="E6" s="102">
        <v>960</v>
      </c>
      <c r="F6" s="102">
        <v>70</v>
      </c>
      <c r="G6" s="102">
        <v>0</v>
      </c>
      <c r="H6" s="102">
        <v>0</v>
      </c>
      <c r="I6" s="102">
        <v>0</v>
      </c>
      <c r="J6" s="102">
        <v>200</v>
      </c>
      <c r="K6" s="102">
        <v>600</v>
      </c>
      <c r="L6" s="102">
        <v>0</v>
      </c>
      <c r="M6" s="65">
        <f>SUM(D6:L6)</f>
        <v>3750</v>
      </c>
      <c r="N6" s="66">
        <f t="shared" ref="N6" si="0">M6*2</f>
        <v>7500</v>
      </c>
    </row>
    <row r="7" spans="1:14" s="99" customFormat="1" ht="20.100000000000001" customHeight="1">
      <c r="A7" s="104" t="s">
        <v>270</v>
      </c>
      <c r="B7" s="105"/>
      <c r="C7" s="105"/>
      <c r="D7" s="106">
        <f t="shared" ref="D7:N7" si="1">SUM(D5:D6)</f>
        <v>2976</v>
      </c>
      <c r="E7" s="106">
        <f t="shared" si="1"/>
        <v>1440</v>
      </c>
      <c r="F7" s="106">
        <f t="shared" si="1"/>
        <v>105</v>
      </c>
      <c r="G7" s="106">
        <f t="shared" si="1"/>
        <v>0</v>
      </c>
      <c r="H7" s="106">
        <f t="shared" si="1"/>
        <v>0</v>
      </c>
      <c r="I7" s="106">
        <f t="shared" si="1"/>
        <v>0</v>
      </c>
      <c r="J7" s="106">
        <f t="shared" si="1"/>
        <v>300</v>
      </c>
      <c r="K7" s="106">
        <f t="shared" si="1"/>
        <v>900</v>
      </c>
      <c r="L7" s="106">
        <f t="shared" si="1"/>
        <v>0</v>
      </c>
      <c r="M7" s="106">
        <f t="shared" si="1"/>
        <v>5721</v>
      </c>
      <c r="N7" s="106">
        <f t="shared" si="1"/>
        <v>11442</v>
      </c>
    </row>
  </sheetData>
  <mergeCells count="6">
    <mergeCell ref="A1:N1"/>
    <mergeCell ref="A2:A4"/>
    <mergeCell ref="B2:B4"/>
    <mergeCell ref="C2:C4"/>
    <mergeCell ref="D2:M2"/>
    <mergeCell ref="N2:N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XET37"/>
  <sheetViews>
    <sheetView topLeftCell="A28" workbookViewId="0">
      <selection activeCell="F6" sqref="A6:XFD73"/>
    </sheetView>
  </sheetViews>
  <sheetFormatPr defaultColWidth="7.875" defaultRowHeight="13.5"/>
  <cols>
    <col min="1" max="1" width="4.375" style="130" customWidth="1"/>
    <col min="2" max="4" width="7.875" style="130"/>
    <col min="5" max="5" width="17.25" style="130" customWidth="1"/>
    <col min="6" max="6" width="21.625" style="130" customWidth="1"/>
    <col min="7" max="7" width="6.375" style="130" customWidth="1"/>
    <col min="8" max="8" width="7.875" style="155"/>
    <col min="9" max="9" width="8" style="155" customWidth="1"/>
    <col min="10" max="10" width="10.75" style="156" customWidth="1"/>
    <col min="11" max="11" width="11.125" style="157" customWidth="1"/>
    <col min="12" max="16374" width="7.875" style="130"/>
    <col min="16375" max="16384" width="7.875" style="131"/>
  </cols>
  <sheetData>
    <row r="1" spans="1:11" ht="30" customHeight="1">
      <c r="A1" s="211" t="s">
        <v>344</v>
      </c>
      <c r="B1" s="211"/>
      <c r="C1" s="211"/>
      <c r="D1" s="211"/>
      <c r="E1" s="211"/>
      <c r="F1" s="211"/>
      <c r="G1" s="211"/>
      <c r="H1" s="212"/>
      <c r="I1" s="212"/>
      <c r="J1" s="212"/>
      <c r="K1" s="192"/>
    </row>
    <row r="2" spans="1:11" ht="24.95" customHeight="1">
      <c r="A2" s="132" t="s">
        <v>3</v>
      </c>
      <c r="B2" s="132" t="s">
        <v>296</v>
      </c>
      <c r="C2" s="132" t="s">
        <v>297</v>
      </c>
      <c r="D2" s="132" t="s">
        <v>298</v>
      </c>
      <c r="E2" s="133" t="s">
        <v>299</v>
      </c>
      <c r="F2" s="133" t="s">
        <v>300</v>
      </c>
      <c r="G2" s="132" t="s">
        <v>1</v>
      </c>
      <c r="H2" s="134" t="s">
        <v>301</v>
      </c>
      <c r="I2" s="135" t="s">
        <v>302</v>
      </c>
      <c r="J2" s="136" t="s">
        <v>303</v>
      </c>
      <c r="K2" s="159" t="s">
        <v>343</v>
      </c>
    </row>
    <row r="3" spans="1:11" ht="24.95" customHeight="1">
      <c r="A3" s="216">
        <v>1</v>
      </c>
      <c r="B3" s="216" t="s">
        <v>304</v>
      </c>
      <c r="C3" s="216" t="s">
        <v>305</v>
      </c>
      <c r="D3" s="216" t="s">
        <v>306</v>
      </c>
      <c r="E3" s="137" t="s">
        <v>307</v>
      </c>
      <c r="F3" s="138" t="s">
        <v>308</v>
      </c>
      <c r="G3" s="139" t="s">
        <v>309</v>
      </c>
      <c r="H3" s="140">
        <v>65</v>
      </c>
      <c r="I3" s="140">
        <v>1200</v>
      </c>
      <c r="J3" s="141">
        <v>78000</v>
      </c>
      <c r="K3" s="210">
        <f>ROUND(J10*0.8,0)</f>
        <v>93170</v>
      </c>
    </row>
    <row r="4" spans="1:11" ht="24.95" customHeight="1">
      <c r="A4" s="217"/>
      <c r="B4" s="217"/>
      <c r="C4" s="217"/>
      <c r="D4" s="217"/>
      <c r="E4" s="137" t="s">
        <v>310</v>
      </c>
      <c r="F4" s="138" t="s">
        <v>311</v>
      </c>
      <c r="G4" s="139" t="s">
        <v>309</v>
      </c>
      <c r="H4" s="140">
        <v>178</v>
      </c>
      <c r="I4" s="140">
        <v>48</v>
      </c>
      <c r="J4" s="141">
        <v>8544</v>
      </c>
      <c r="K4" s="210"/>
    </row>
    <row r="5" spans="1:11" ht="24.95" customHeight="1">
      <c r="A5" s="217"/>
      <c r="B5" s="217"/>
      <c r="C5" s="217"/>
      <c r="D5" s="217"/>
      <c r="E5" s="216" t="s">
        <v>312</v>
      </c>
      <c r="F5" s="138" t="s">
        <v>311</v>
      </c>
      <c r="G5" s="139" t="s">
        <v>309</v>
      </c>
      <c r="H5" s="140">
        <v>155</v>
      </c>
      <c r="I5" s="140">
        <v>48</v>
      </c>
      <c r="J5" s="141">
        <v>7440</v>
      </c>
      <c r="K5" s="210"/>
    </row>
    <row r="6" spans="1:11" ht="24.95" customHeight="1">
      <c r="A6" s="217"/>
      <c r="B6" s="217"/>
      <c r="C6" s="217"/>
      <c r="D6" s="217"/>
      <c r="E6" s="217"/>
      <c r="F6" s="138" t="s">
        <v>313</v>
      </c>
      <c r="G6" s="139" t="s">
        <v>314</v>
      </c>
      <c r="H6" s="142">
        <v>45</v>
      </c>
      <c r="I6" s="140">
        <v>200</v>
      </c>
      <c r="J6" s="141">
        <v>9000</v>
      </c>
      <c r="K6" s="210"/>
    </row>
    <row r="7" spans="1:11" ht="24.95" customHeight="1">
      <c r="A7" s="217"/>
      <c r="B7" s="217"/>
      <c r="C7" s="217"/>
      <c r="D7" s="217"/>
      <c r="E7" s="217"/>
      <c r="F7" s="138" t="s">
        <v>315</v>
      </c>
      <c r="G7" s="139" t="s">
        <v>314</v>
      </c>
      <c r="H7" s="142">
        <v>5</v>
      </c>
      <c r="I7" s="140">
        <v>200</v>
      </c>
      <c r="J7" s="141">
        <v>1000</v>
      </c>
      <c r="K7" s="210"/>
    </row>
    <row r="8" spans="1:11" ht="24.95" customHeight="1">
      <c r="A8" s="217"/>
      <c r="B8" s="217"/>
      <c r="C8" s="217"/>
      <c r="D8" s="217"/>
      <c r="E8" s="143" t="s">
        <v>316</v>
      </c>
      <c r="F8" s="138"/>
      <c r="G8" s="138"/>
      <c r="H8" s="144"/>
      <c r="I8" s="144"/>
      <c r="J8" s="145">
        <v>103984</v>
      </c>
      <c r="K8" s="210"/>
    </row>
    <row r="9" spans="1:11" ht="24.95" customHeight="1">
      <c r="A9" s="217"/>
      <c r="B9" s="217"/>
      <c r="C9" s="217"/>
      <c r="D9" s="217"/>
      <c r="E9" s="143" t="s">
        <v>317</v>
      </c>
      <c r="F9" s="138"/>
      <c r="G9" s="138"/>
      <c r="H9" s="144"/>
      <c r="I9" s="144"/>
      <c r="J9" s="145">
        <v>12478.08</v>
      </c>
      <c r="K9" s="210"/>
    </row>
    <row r="10" spans="1:11" ht="24.95" customHeight="1">
      <c r="A10" s="218"/>
      <c r="B10" s="218"/>
      <c r="C10" s="218"/>
      <c r="D10" s="218"/>
      <c r="E10" s="143" t="s">
        <v>318</v>
      </c>
      <c r="F10" s="138"/>
      <c r="G10" s="138"/>
      <c r="H10" s="144"/>
      <c r="I10" s="144"/>
      <c r="J10" s="145">
        <v>116462.08</v>
      </c>
      <c r="K10" s="210"/>
    </row>
    <row r="11" spans="1:11" ht="24.95" customHeight="1">
      <c r="A11" s="215">
        <v>2</v>
      </c>
      <c r="B11" s="215" t="s">
        <v>188</v>
      </c>
      <c r="C11" s="215" t="s">
        <v>319</v>
      </c>
      <c r="D11" s="215" t="s">
        <v>306</v>
      </c>
      <c r="E11" s="215" t="s">
        <v>320</v>
      </c>
      <c r="F11" s="138" t="s">
        <v>321</v>
      </c>
      <c r="G11" s="139" t="s">
        <v>314</v>
      </c>
      <c r="H11" s="140">
        <v>5.5</v>
      </c>
      <c r="I11" s="140">
        <v>800</v>
      </c>
      <c r="J11" s="141">
        <v>4400</v>
      </c>
      <c r="K11" s="210">
        <f>ROUND(J25*0.8,0)</f>
        <v>143761</v>
      </c>
    </row>
    <row r="12" spans="1:11" ht="24.95" customHeight="1">
      <c r="A12" s="215"/>
      <c r="B12" s="215"/>
      <c r="C12" s="215"/>
      <c r="D12" s="215"/>
      <c r="E12" s="215"/>
      <c r="F12" s="138" t="s">
        <v>322</v>
      </c>
      <c r="G12" s="138" t="s">
        <v>323</v>
      </c>
      <c r="H12" s="144">
        <v>8</v>
      </c>
      <c r="I12" s="144">
        <v>500</v>
      </c>
      <c r="J12" s="141">
        <v>4000</v>
      </c>
      <c r="K12" s="210"/>
    </row>
    <row r="13" spans="1:11" ht="24.95" customHeight="1">
      <c r="A13" s="215"/>
      <c r="B13" s="215"/>
      <c r="C13" s="215"/>
      <c r="D13" s="215"/>
      <c r="E13" s="215" t="s">
        <v>324</v>
      </c>
      <c r="F13" s="138" t="s">
        <v>325</v>
      </c>
      <c r="G13" s="139" t="s">
        <v>309</v>
      </c>
      <c r="H13" s="140">
        <v>27</v>
      </c>
      <c r="I13" s="140">
        <v>236</v>
      </c>
      <c r="J13" s="141">
        <v>6372</v>
      </c>
      <c r="K13" s="210"/>
    </row>
    <row r="14" spans="1:11" ht="24.95" customHeight="1">
      <c r="A14" s="215"/>
      <c r="B14" s="215"/>
      <c r="C14" s="215"/>
      <c r="D14" s="215"/>
      <c r="E14" s="215"/>
      <c r="F14" s="138" t="s">
        <v>321</v>
      </c>
      <c r="G14" s="138" t="s">
        <v>314</v>
      </c>
      <c r="H14" s="144">
        <v>21.6</v>
      </c>
      <c r="I14" s="144">
        <v>800</v>
      </c>
      <c r="J14" s="141">
        <v>17280</v>
      </c>
      <c r="K14" s="210"/>
    </row>
    <row r="15" spans="1:11" ht="24.95" customHeight="1">
      <c r="A15" s="215"/>
      <c r="B15" s="215"/>
      <c r="C15" s="215"/>
      <c r="D15" s="215"/>
      <c r="E15" s="215"/>
      <c r="F15" s="138" t="s">
        <v>322</v>
      </c>
      <c r="G15" s="138" t="s">
        <v>323</v>
      </c>
      <c r="H15" s="144">
        <v>48</v>
      </c>
      <c r="I15" s="144">
        <v>500</v>
      </c>
      <c r="J15" s="141">
        <v>24000</v>
      </c>
      <c r="K15" s="210"/>
    </row>
    <row r="16" spans="1:11" ht="24.95" customHeight="1">
      <c r="A16" s="215"/>
      <c r="B16" s="215"/>
      <c r="C16" s="215"/>
      <c r="D16" s="215"/>
      <c r="E16" s="215"/>
      <c r="F16" s="138" t="s">
        <v>326</v>
      </c>
      <c r="G16" s="139" t="s">
        <v>309</v>
      </c>
      <c r="H16" s="140">
        <v>15</v>
      </c>
      <c r="I16" s="140">
        <v>257</v>
      </c>
      <c r="J16" s="141">
        <v>3855</v>
      </c>
      <c r="K16" s="210"/>
    </row>
    <row r="17" spans="1:11" ht="24.95" customHeight="1">
      <c r="A17" s="215"/>
      <c r="B17" s="215"/>
      <c r="C17" s="215"/>
      <c r="D17" s="215"/>
      <c r="E17" s="215" t="s">
        <v>327</v>
      </c>
      <c r="F17" s="138" t="s">
        <v>325</v>
      </c>
      <c r="G17" s="139" t="s">
        <v>309</v>
      </c>
      <c r="H17" s="140">
        <v>50</v>
      </c>
      <c r="I17" s="140">
        <v>236</v>
      </c>
      <c r="J17" s="141">
        <v>11800</v>
      </c>
      <c r="K17" s="210"/>
    </row>
    <row r="18" spans="1:11" ht="24.95" customHeight="1">
      <c r="A18" s="215"/>
      <c r="B18" s="215"/>
      <c r="C18" s="215"/>
      <c r="D18" s="215"/>
      <c r="E18" s="215"/>
      <c r="F18" s="138" t="s">
        <v>321</v>
      </c>
      <c r="G18" s="138" t="s">
        <v>314</v>
      </c>
      <c r="H18" s="144">
        <v>40</v>
      </c>
      <c r="I18" s="140">
        <v>800</v>
      </c>
      <c r="J18" s="141">
        <v>32000</v>
      </c>
      <c r="K18" s="210"/>
    </row>
    <row r="19" spans="1:11" ht="24.95" customHeight="1">
      <c r="A19" s="215"/>
      <c r="B19" s="215"/>
      <c r="C19" s="215"/>
      <c r="D19" s="215"/>
      <c r="E19" s="215"/>
      <c r="F19" s="138" t="s">
        <v>322</v>
      </c>
      <c r="G19" s="138" t="s">
        <v>323</v>
      </c>
      <c r="H19" s="144">
        <v>80</v>
      </c>
      <c r="I19" s="140">
        <v>500</v>
      </c>
      <c r="J19" s="141">
        <v>40000</v>
      </c>
      <c r="K19" s="210"/>
    </row>
    <row r="20" spans="1:11" ht="24.95" customHeight="1">
      <c r="A20" s="215"/>
      <c r="B20" s="215"/>
      <c r="C20" s="215"/>
      <c r="D20" s="215"/>
      <c r="E20" s="215"/>
      <c r="F20" s="138" t="s">
        <v>326</v>
      </c>
      <c r="G20" s="139" t="s">
        <v>309</v>
      </c>
      <c r="H20" s="140">
        <v>20</v>
      </c>
      <c r="I20" s="140">
        <v>257</v>
      </c>
      <c r="J20" s="141">
        <v>5140</v>
      </c>
      <c r="K20" s="210"/>
    </row>
    <row r="21" spans="1:11" ht="24.95" customHeight="1">
      <c r="A21" s="215"/>
      <c r="B21" s="215"/>
      <c r="C21" s="215"/>
      <c r="D21" s="215"/>
      <c r="E21" s="215" t="s">
        <v>328</v>
      </c>
      <c r="F21" s="138" t="s">
        <v>329</v>
      </c>
      <c r="G21" s="139" t="s">
        <v>309</v>
      </c>
      <c r="H21" s="140">
        <v>120</v>
      </c>
      <c r="I21" s="140">
        <v>80</v>
      </c>
      <c r="J21" s="141">
        <v>9600</v>
      </c>
      <c r="K21" s="210"/>
    </row>
    <row r="22" spans="1:11" ht="24.95" customHeight="1">
      <c r="A22" s="215"/>
      <c r="B22" s="215"/>
      <c r="C22" s="215"/>
      <c r="D22" s="215"/>
      <c r="E22" s="215"/>
      <c r="F22" s="138" t="s">
        <v>330</v>
      </c>
      <c r="G22" s="139" t="s">
        <v>331</v>
      </c>
      <c r="H22" s="140">
        <v>1</v>
      </c>
      <c r="I22" s="140">
        <v>2000</v>
      </c>
      <c r="J22" s="141">
        <v>2000</v>
      </c>
      <c r="K22" s="210"/>
    </row>
    <row r="23" spans="1:11" ht="24.95" customHeight="1">
      <c r="A23" s="215"/>
      <c r="B23" s="215"/>
      <c r="C23" s="215"/>
      <c r="D23" s="215"/>
      <c r="E23" s="143" t="s">
        <v>316</v>
      </c>
      <c r="F23" s="138"/>
      <c r="G23" s="138"/>
      <c r="H23" s="144"/>
      <c r="I23" s="144"/>
      <c r="J23" s="145">
        <v>160447</v>
      </c>
      <c r="K23" s="210"/>
    </row>
    <row r="24" spans="1:11" ht="24.95" customHeight="1">
      <c r="A24" s="215"/>
      <c r="B24" s="215"/>
      <c r="C24" s="215"/>
      <c r="D24" s="215"/>
      <c r="E24" s="143" t="s">
        <v>317</v>
      </c>
      <c r="F24" s="138"/>
      <c r="G24" s="138"/>
      <c r="H24" s="144"/>
      <c r="I24" s="144"/>
      <c r="J24" s="145">
        <v>19253.64</v>
      </c>
      <c r="K24" s="210"/>
    </row>
    <row r="25" spans="1:11" ht="24.95" customHeight="1">
      <c r="A25" s="215"/>
      <c r="B25" s="215"/>
      <c r="C25" s="215"/>
      <c r="D25" s="215"/>
      <c r="E25" s="143" t="s">
        <v>318</v>
      </c>
      <c r="F25" s="138"/>
      <c r="G25" s="138"/>
      <c r="H25" s="144"/>
      <c r="I25" s="144"/>
      <c r="J25" s="145">
        <v>179700.64</v>
      </c>
      <c r="K25" s="210"/>
    </row>
    <row r="26" spans="1:11" ht="24.95" customHeight="1">
      <c r="A26" s="213">
        <v>3</v>
      </c>
      <c r="B26" s="213" t="s">
        <v>332</v>
      </c>
      <c r="C26" s="213" t="s">
        <v>333</v>
      </c>
      <c r="D26" s="214" t="s">
        <v>334</v>
      </c>
      <c r="E26" s="138" t="s">
        <v>335</v>
      </c>
      <c r="F26" s="138" t="s">
        <v>336</v>
      </c>
      <c r="G26" s="138" t="s">
        <v>309</v>
      </c>
      <c r="H26" s="144">
        <v>750</v>
      </c>
      <c r="I26" s="144">
        <v>230</v>
      </c>
      <c r="J26" s="146">
        <v>172500</v>
      </c>
      <c r="K26" s="210">
        <f>ROUND(J30*0.8,0)</f>
        <v>194880</v>
      </c>
    </row>
    <row r="27" spans="1:11" ht="24.95" customHeight="1">
      <c r="A27" s="213"/>
      <c r="B27" s="213"/>
      <c r="C27" s="213"/>
      <c r="D27" s="214"/>
      <c r="E27" s="143" t="s">
        <v>316</v>
      </c>
      <c r="F27" s="138"/>
      <c r="G27" s="138"/>
      <c r="H27" s="144"/>
      <c r="I27" s="144"/>
      <c r="J27" s="145">
        <v>172500</v>
      </c>
      <c r="K27" s="210"/>
    </row>
    <row r="28" spans="1:11" ht="24.95" customHeight="1">
      <c r="A28" s="213"/>
      <c r="B28" s="213"/>
      <c r="C28" s="213"/>
      <c r="D28" s="214"/>
      <c r="E28" s="143" t="s">
        <v>317</v>
      </c>
      <c r="F28" s="138"/>
      <c r="G28" s="138"/>
      <c r="H28" s="144"/>
      <c r="I28" s="144"/>
      <c r="J28" s="145">
        <v>20700</v>
      </c>
      <c r="K28" s="210"/>
    </row>
    <row r="29" spans="1:11" ht="24.95" customHeight="1">
      <c r="A29" s="213"/>
      <c r="B29" s="213"/>
      <c r="C29" s="213"/>
      <c r="D29" s="214"/>
      <c r="E29" s="147" t="s">
        <v>337</v>
      </c>
      <c r="F29" s="138"/>
      <c r="G29" s="138" t="s">
        <v>338</v>
      </c>
      <c r="H29" s="144">
        <v>28</v>
      </c>
      <c r="I29" s="144">
        <v>1800</v>
      </c>
      <c r="J29" s="148">
        <v>50400</v>
      </c>
      <c r="K29" s="210"/>
    </row>
    <row r="30" spans="1:11" ht="24.95" customHeight="1">
      <c r="A30" s="213"/>
      <c r="B30" s="213"/>
      <c r="C30" s="213"/>
      <c r="D30" s="214"/>
      <c r="E30" s="143" t="s">
        <v>318</v>
      </c>
      <c r="F30" s="138"/>
      <c r="G30" s="138"/>
      <c r="H30" s="144"/>
      <c r="I30" s="144"/>
      <c r="J30" s="145">
        <v>243600</v>
      </c>
      <c r="K30" s="210"/>
    </row>
    <row r="31" spans="1:11" ht="24.95" customHeight="1">
      <c r="A31" s="213">
        <v>4</v>
      </c>
      <c r="B31" s="213" t="s">
        <v>339</v>
      </c>
      <c r="C31" s="213" t="s">
        <v>340</v>
      </c>
      <c r="D31" s="214" t="s">
        <v>334</v>
      </c>
      <c r="E31" s="138" t="s">
        <v>341</v>
      </c>
      <c r="F31" s="149" t="s">
        <v>342</v>
      </c>
      <c r="G31" s="150" t="s">
        <v>309</v>
      </c>
      <c r="H31" s="151">
        <v>130</v>
      </c>
      <c r="I31" s="151">
        <v>2500</v>
      </c>
      <c r="J31" s="152">
        <v>325000</v>
      </c>
      <c r="K31" s="210">
        <f>ROUND(J34*0.8,0)</f>
        <v>291200</v>
      </c>
    </row>
    <row r="32" spans="1:11" ht="24.95" customHeight="1">
      <c r="A32" s="213"/>
      <c r="B32" s="213"/>
      <c r="C32" s="213"/>
      <c r="D32" s="214"/>
      <c r="E32" s="143" t="s">
        <v>316</v>
      </c>
      <c r="F32" s="138"/>
      <c r="G32" s="138"/>
      <c r="H32" s="144"/>
      <c r="I32" s="144"/>
      <c r="J32" s="145">
        <v>325000</v>
      </c>
      <c r="K32" s="210"/>
    </row>
    <row r="33" spans="1:11" ht="24.95" customHeight="1">
      <c r="A33" s="213"/>
      <c r="B33" s="213"/>
      <c r="C33" s="213"/>
      <c r="D33" s="214"/>
      <c r="E33" s="143" t="s">
        <v>317</v>
      </c>
      <c r="F33" s="138"/>
      <c r="G33" s="138"/>
      <c r="H33" s="144"/>
      <c r="I33" s="144"/>
      <c r="J33" s="145">
        <v>39000</v>
      </c>
      <c r="K33" s="210"/>
    </row>
    <row r="34" spans="1:11" ht="24.95" customHeight="1">
      <c r="A34" s="213"/>
      <c r="B34" s="213"/>
      <c r="C34" s="213"/>
      <c r="D34" s="214"/>
      <c r="E34" s="143" t="s">
        <v>318</v>
      </c>
      <c r="F34" s="138"/>
      <c r="G34" s="138"/>
      <c r="H34" s="144"/>
      <c r="I34" s="144"/>
      <c r="J34" s="145">
        <v>364000</v>
      </c>
      <c r="K34" s="210"/>
    </row>
    <row r="35" spans="1:11" ht="24.95" customHeight="1">
      <c r="A35" s="153"/>
      <c r="B35" s="153"/>
      <c r="C35" s="153"/>
      <c r="D35" s="153"/>
      <c r="E35" s="132" t="s">
        <v>12</v>
      </c>
      <c r="F35" s="132"/>
      <c r="G35" s="134"/>
      <c r="H35" s="134"/>
      <c r="I35" s="134"/>
      <c r="J35" s="154">
        <v>903762.72</v>
      </c>
      <c r="K35" s="158">
        <f>SUM(K3:K34)</f>
        <v>723011</v>
      </c>
    </row>
    <row r="37" spans="1:11">
      <c r="K37" s="160"/>
    </row>
  </sheetData>
  <mergeCells count="26">
    <mergeCell ref="A3:A10"/>
    <mergeCell ref="B3:B10"/>
    <mergeCell ref="C3:C10"/>
    <mergeCell ref="D3:D10"/>
    <mergeCell ref="E5:E7"/>
    <mergeCell ref="D11:D25"/>
    <mergeCell ref="E11:E12"/>
    <mergeCell ref="E13:E16"/>
    <mergeCell ref="E17:E20"/>
    <mergeCell ref="E21:E22"/>
    <mergeCell ref="K3:K10"/>
    <mergeCell ref="K11:K25"/>
    <mergeCell ref="K26:K30"/>
    <mergeCell ref="K31:K34"/>
    <mergeCell ref="A1:K1"/>
    <mergeCell ref="A26:A30"/>
    <mergeCell ref="B26:B30"/>
    <mergeCell ref="C26:C30"/>
    <mergeCell ref="D26:D30"/>
    <mergeCell ref="A31:A34"/>
    <mergeCell ref="B31:B34"/>
    <mergeCell ref="C31:C34"/>
    <mergeCell ref="D31:D34"/>
    <mergeCell ref="A11:A25"/>
    <mergeCell ref="B11:B25"/>
    <mergeCell ref="C11:C2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12</vt:i4>
      </vt:variant>
      <vt:variant>
        <vt:lpstr>命名范围</vt:lpstr>
      </vt:variant>
      <vt:variant>
        <vt:i4>20</vt:i4>
      </vt:variant>
    </vt:vector>
  </HeadingPairs>
  <TitlesOfParts>
    <vt:vector size="32" baseType="lpstr">
      <vt:lpstr>莘庄镇</vt:lpstr>
      <vt:lpstr>莘庄基本支出</vt:lpstr>
      <vt:lpstr>2023年绩效清算</vt:lpstr>
      <vt:lpstr>残疾就业保障</vt:lpstr>
      <vt:lpstr>社区教育</vt:lpstr>
      <vt:lpstr>补充公用经费</vt:lpstr>
      <vt:lpstr>清算补充公用经费</vt:lpstr>
      <vt:lpstr>公办义务教育减免书薄费</vt:lpstr>
      <vt:lpstr>公办义务教育资助</vt:lpstr>
      <vt:lpstr>公办义务教育营养午餐</vt:lpstr>
      <vt:lpstr>公办学前资助</vt:lpstr>
      <vt:lpstr>莘庄维修</vt:lpstr>
      <vt:lpstr>'2023年绩效清算'!Print_Area</vt:lpstr>
      <vt:lpstr>补充公用经费!Print_Area</vt:lpstr>
      <vt:lpstr>残疾就业保障!Print_Area</vt:lpstr>
      <vt:lpstr>公办学前资助!Print_Area</vt:lpstr>
      <vt:lpstr>公办义务教育减免书薄费!Print_Area</vt:lpstr>
      <vt:lpstr>公办义务教育营养午餐!Print_Area</vt:lpstr>
      <vt:lpstr>公办义务教育资助!Print_Area</vt:lpstr>
      <vt:lpstr>清算补充公用经费!Print_Area</vt:lpstr>
      <vt:lpstr>社区教育!Print_Area</vt:lpstr>
      <vt:lpstr>莘庄基本支出!Print_Area</vt:lpstr>
      <vt:lpstr>莘庄维修!Print_Area</vt:lpstr>
      <vt:lpstr>'2023年绩效清算'!Print_Titles</vt:lpstr>
      <vt:lpstr>补充公用经费!Print_Titles</vt:lpstr>
      <vt:lpstr>残疾就业保障!Print_Titles</vt:lpstr>
      <vt:lpstr>公办学前资助!Print_Titles</vt:lpstr>
      <vt:lpstr>公办义务教育减免书薄费!Print_Titles</vt:lpstr>
      <vt:lpstr>公办义务教育营养午餐!Print_Titles</vt:lpstr>
      <vt:lpstr>公办义务教育资助!Print_Titles</vt:lpstr>
      <vt:lpstr>清算补充公用经费!Print_Titles</vt:lpstr>
      <vt:lpstr>莘庄基本支出!Print_Titles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2024-03-25T07:35:08Z</cp:lastPrinted>
  <dcterms:created xsi:type="dcterms:W3CDTF">2022-11-10T02:18:00Z</dcterms:created>
  <dcterms:modified xsi:type="dcterms:W3CDTF">2024-03-27T01:20:49Z</dcterms:modified>
</cp:coreProperties>
</file>