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80" windowHeight="12330"/>
  </bookViews>
  <sheets>
    <sheet name="七宝镇" sheetId="54" r:id="rId1"/>
    <sheet name="七宝基本支出" sheetId="22" state="hidden" r:id="rId2"/>
    <sheet name="2023年绩效清算" sheetId="39" state="hidden" r:id="rId3"/>
    <sheet name="残疾就业保障" sheetId="31" state="hidden" r:id="rId4"/>
    <sheet name="抚恤金" sheetId="38" state="hidden" r:id="rId5"/>
    <sheet name="社区教育" sheetId="43" state="hidden" r:id="rId6"/>
    <sheet name="补充公用经费" sheetId="32" state="hidden" r:id="rId7"/>
    <sheet name="清算补充公用经费" sheetId="41" state="hidden" r:id="rId8"/>
    <sheet name="公办义务教育减免书薄费" sheetId="36" state="hidden" r:id="rId9"/>
    <sheet name="公办义务教育资助" sheetId="35" state="hidden" r:id="rId10"/>
    <sheet name="公办义务教育营养午餐" sheetId="37" state="hidden" r:id="rId11"/>
    <sheet name="公办学前资助" sheetId="34" state="hidden" r:id="rId12"/>
    <sheet name="七宝维修" sheetId="47" state="hidden" r:id="rId13"/>
    <sheet name="尾款清算" sheetId="44" state="hidden" r:id="rId14"/>
  </sheets>
  <externalReferences>
    <externalReference r:id="rId15"/>
  </externalReferences>
  <definedNames>
    <definedName name="_xlnm.Print_Area" localSheetId="2">'2023年绩效清算'!$A$1:$Q$24</definedName>
    <definedName name="_xlnm.Print_Area" localSheetId="6">补充公用经费!$A$1:$AO$23</definedName>
    <definedName name="_xlnm.Print_Area" localSheetId="3">残疾就业保障!$A$1:$D$23</definedName>
    <definedName name="_xlnm.Print_Area" localSheetId="11">公办学前资助!$A$1:$N$11</definedName>
    <definedName name="_xlnm.Print_Area" localSheetId="8">公办义务教育减免书薄费!$A$1:$I$13</definedName>
    <definedName name="_xlnm.Print_Area" localSheetId="10">公办义务教育营养午餐!$A$1:$E$14</definedName>
    <definedName name="_xlnm.Print_Area" localSheetId="9">公办义务教育资助!$A$1:$L$15</definedName>
    <definedName name="_xlnm.Print_Area" localSheetId="1">七宝基本支出!$A$1:$Z$73</definedName>
    <definedName name="_xlnm.Print_Area" localSheetId="12">七宝维修!$A$1:$K$121</definedName>
    <definedName name="_xlnm.Print_Area" localSheetId="7">清算补充公用经费!$A$1:$I$13</definedName>
    <definedName name="_xlnm.Print_Area" localSheetId="5">社区教育!$A$1:$C$3</definedName>
    <definedName name="_xlnm.Print_Area" localSheetId="13">尾款清算!$A$1:$K$16</definedName>
    <definedName name="_xlnm.Print_Titles" localSheetId="2">'2023年绩效清算'!$1:$3</definedName>
    <definedName name="_xlnm.Print_Titles" localSheetId="6">补充公用经费!$1:$3</definedName>
    <definedName name="_xlnm.Print_Titles" localSheetId="3">残疾就业保障!$1:$2</definedName>
    <definedName name="_xlnm.Print_Titles" localSheetId="11">公办学前资助!$1:$4</definedName>
    <definedName name="_xlnm.Print_Titles" localSheetId="8">公办义务教育减免书薄费!$1:$2</definedName>
    <definedName name="_xlnm.Print_Titles" localSheetId="10">公办义务教育营养午餐!$1:$2</definedName>
    <definedName name="_xlnm.Print_Titles" localSheetId="9">公办义务教育资助!$1:$4</definedName>
    <definedName name="_xlnm.Print_Titles" localSheetId="1">七宝基本支出!$1:$2</definedName>
    <definedName name="_xlnm.Print_Titles" localSheetId="12">七宝维修!$1:$2</definedName>
    <definedName name="_xlnm.Print_Titles" localSheetId="7">清算补充公用经费!$1:$2</definedName>
    <definedName name="_xlnm.Print_Titles" localSheetId="13">尾款清算!$1:$2</definedName>
  </definedNames>
  <calcPr calcId="124519"/>
</workbook>
</file>

<file path=xl/calcChain.xml><?xml version="1.0" encoding="utf-8"?>
<calcChain xmlns="http://schemas.openxmlformats.org/spreadsheetml/2006/main">
  <c r="C17" i="54"/>
  <c r="C16"/>
  <c r="C15"/>
  <c r="C14"/>
  <c r="C13"/>
  <c r="C12"/>
  <c r="C11"/>
  <c r="C10"/>
  <c r="C9"/>
  <c r="C7"/>
  <c r="C6"/>
  <c r="C5"/>
  <c r="C4"/>
  <c r="C8"/>
  <c r="H13" i="41" l="1"/>
  <c r="F13"/>
  <c r="D13"/>
  <c r="C13"/>
  <c r="I3"/>
  <c r="I12"/>
  <c r="K121" i="47" l="1"/>
  <c r="K70"/>
  <c r="K55"/>
  <c r="K35"/>
  <c r="K29"/>
  <c r="K18"/>
  <c r="K3"/>
  <c r="D6" i="38" l="1"/>
  <c r="J16" i="44" l="1"/>
  <c r="H16"/>
  <c r="G16"/>
  <c r="F16"/>
  <c r="E16"/>
  <c r="D16"/>
  <c r="I15"/>
  <c r="K15" s="1"/>
  <c r="I14"/>
  <c r="K14" s="1"/>
  <c r="K13"/>
  <c r="I13"/>
  <c r="I12"/>
  <c r="K12" s="1"/>
  <c r="I11"/>
  <c r="K11" s="1"/>
  <c r="I10"/>
  <c r="K10" s="1"/>
  <c r="I9"/>
  <c r="K9" s="1"/>
  <c r="I8"/>
  <c r="K8" s="1"/>
  <c r="K7"/>
  <c r="I7"/>
  <c r="I6"/>
  <c r="K6" s="1"/>
  <c r="I5"/>
  <c r="K5" s="1"/>
  <c r="I4"/>
  <c r="I3"/>
  <c r="K3" s="1"/>
  <c r="C3" i="43"/>
  <c r="I16" i="44" l="1"/>
  <c r="K4"/>
  <c r="K16" s="1"/>
  <c r="G4" i="41" l="1"/>
  <c r="I4" l="1"/>
  <c r="E5"/>
  <c r="E6"/>
  <c r="G6" s="1"/>
  <c r="I6" s="1"/>
  <c r="E7"/>
  <c r="G7" s="1"/>
  <c r="I7" s="1"/>
  <c r="E8"/>
  <c r="G8" s="1"/>
  <c r="I8" s="1"/>
  <c r="E9"/>
  <c r="G9" s="1"/>
  <c r="I9" s="1"/>
  <c r="E10"/>
  <c r="G10" s="1"/>
  <c r="I10" s="1"/>
  <c r="E11"/>
  <c r="G11" s="1"/>
  <c r="I11" s="1"/>
  <c r="E13" l="1"/>
  <c r="G5"/>
  <c r="I5" l="1"/>
  <c r="G13"/>
  <c r="W19" i="22"/>
  <c r="F19"/>
  <c r="G19"/>
  <c r="H19"/>
  <c r="I19"/>
  <c r="J19"/>
  <c r="K19"/>
  <c r="L19"/>
  <c r="M19"/>
  <c r="E19"/>
  <c r="AD4" i="32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I13" i="41" l="1"/>
  <c r="AD23" i="32"/>
  <c r="F12" i="39"/>
  <c r="L24" l="1"/>
  <c r="K24"/>
  <c r="J24"/>
  <c r="H24"/>
  <c r="G24"/>
  <c r="F24"/>
  <c r="P23"/>
  <c r="O23"/>
  <c r="N23"/>
  <c r="M23"/>
  <c r="I23"/>
  <c r="P22"/>
  <c r="O22"/>
  <c r="N22"/>
  <c r="M22"/>
  <c r="I22"/>
  <c r="P21"/>
  <c r="O21"/>
  <c r="N21"/>
  <c r="M21"/>
  <c r="I21"/>
  <c r="P20"/>
  <c r="O20"/>
  <c r="N20"/>
  <c r="M20"/>
  <c r="I20"/>
  <c r="P19"/>
  <c r="O19"/>
  <c r="N19"/>
  <c r="M19"/>
  <c r="I19"/>
  <c r="P18"/>
  <c r="O18"/>
  <c r="N18"/>
  <c r="M18"/>
  <c r="I18"/>
  <c r="P17"/>
  <c r="O17"/>
  <c r="N17"/>
  <c r="M17"/>
  <c r="I17"/>
  <c r="P16"/>
  <c r="O16"/>
  <c r="N16"/>
  <c r="M16"/>
  <c r="I16"/>
  <c r="P15"/>
  <c r="O15"/>
  <c r="N15"/>
  <c r="M15"/>
  <c r="I15"/>
  <c r="P14"/>
  <c r="O14"/>
  <c r="N14"/>
  <c r="M14"/>
  <c r="I14"/>
  <c r="P13"/>
  <c r="O13"/>
  <c r="N13"/>
  <c r="M13"/>
  <c r="I13"/>
  <c r="P12"/>
  <c r="O12"/>
  <c r="N12"/>
  <c r="M12"/>
  <c r="I12"/>
  <c r="P11"/>
  <c r="O11"/>
  <c r="N11"/>
  <c r="M11"/>
  <c r="I11"/>
  <c r="P10"/>
  <c r="O10"/>
  <c r="N10"/>
  <c r="M10"/>
  <c r="I10"/>
  <c r="P9"/>
  <c r="O9"/>
  <c r="N9"/>
  <c r="M9"/>
  <c r="I9"/>
  <c r="P8"/>
  <c r="O8"/>
  <c r="N8"/>
  <c r="M8"/>
  <c r="I8"/>
  <c r="P7"/>
  <c r="O7"/>
  <c r="N7"/>
  <c r="M7"/>
  <c r="I7"/>
  <c r="P6"/>
  <c r="O6"/>
  <c r="N6"/>
  <c r="M6"/>
  <c r="I6"/>
  <c r="P5"/>
  <c r="O5"/>
  <c r="N5"/>
  <c r="M5"/>
  <c r="I5"/>
  <c r="P4"/>
  <c r="O4"/>
  <c r="N4"/>
  <c r="M4"/>
  <c r="I4"/>
  <c r="Q5" l="1"/>
  <c r="Q9"/>
  <c r="Q7"/>
  <c r="Q8"/>
  <c r="Q11"/>
  <c r="Q12"/>
  <c r="Q15"/>
  <c r="Q16"/>
  <c r="Q19"/>
  <c r="Q20"/>
  <c r="Q23"/>
  <c r="Q21"/>
  <c r="Q17"/>
  <c r="Q13"/>
  <c r="I24"/>
  <c r="Q10"/>
  <c r="M24"/>
  <c r="P24"/>
  <c r="Q6"/>
  <c r="Q14"/>
  <c r="Q18"/>
  <c r="Q22"/>
  <c r="O24"/>
  <c r="N24"/>
  <c r="Q4"/>
  <c r="Q24" l="1"/>
  <c r="X74" i="22"/>
  <c r="V74"/>
  <c r="U74"/>
  <c r="T74"/>
  <c r="S74"/>
  <c r="R74"/>
  <c r="Q74"/>
  <c r="P74"/>
  <c r="O74"/>
  <c r="N74"/>
  <c r="Y73"/>
  <c r="Y72"/>
  <c r="Y71"/>
  <c r="Y70"/>
  <c r="Y69"/>
  <c r="Y68"/>
  <c r="Y67"/>
  <c r="Y66" s="1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Y65"/>
  <c r="Y64"/>
  <c r="Y63"/>
  <c r="Y62"/>
  <c r="Y61" s="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Y60"/>
  <c r="Y59"/>
  <c r="Y58" s="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Y57"/>
  <c r="Y56" s="1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Y55"/>
  <c r="X55" s="1"/>
  <c r="W55"/>
  <c r="V55"/>
  <c r="U55"/>
  <c r="T55" s="1"/>
  <c r="S55"/>
  <c r="R55"/>
  <c r="Q55"/>
  <c r="P55" s="1"/>
  <c r="O55"/>
  <c r="N55"/>
  <c r="M55"/>
  <c r="L55" s="1"/>
  <c r="K55"/>
  <c r="J55"/>
  <c r="I55"/>
  <c r="H55" s="1"/>
  <c r="G55"/>
  <c r="F55"/>
  <c r="E55"/>
  <c r="Y54" s="1"/>
  <c r="X54" s="1"/>
  <c r="W54"/>
  <c r="V54"/>
  <c r="U54" s="1"/>
  <c r="T54" s="1"/>
  <c r="S54"/>
  <c r="R54"/>
  <c r="Q54" s="1"/>
  <c r="P54" s="1"/>
  <c r="O54"/>
  <c r="N54"/>
  <c r="M54" s="1"/>
  <c r="L54" s="1"/>
  <c r="K54"/>
  <c r="J54"/>
  <c r="I54" s="1"/>
  <c r="H54" s="1"/>
  <c r="G54"/>
  <c r="F54"/>
  <c r="E54"/>
  <c r="Y53"/>
  <c r="Y52" s="1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Y51"/>
  <c r="X51"/>
  <c r="W51"/>
  <c r="V51" s="1"/>
  <c r="U51" s="1"/>
  <c r="T51" s="1"/>
  <c r="S51"/>
  <c r="R51" s="1"/>
  <c r="Q51" s="1"/>
  <c r="P51" s="1"/>
  <c r="O51"/>
  <c r="N51" s="1"/>
  <c r="M51" s="1"/>
  <c r="L51" s="1"/>
  <c r="K51"/>
  <c r="J51"/>
  <c r="I51" s="1"/>
  <c r="H51" s="1"/>
  <c r="G51"/>
  <c r="F51"/>
  <c r="E51"/>
  <c r="Y50"/>
  <c r="X50"/>
  <c r="W50"/>
  <c r="V50" s="1"/>
  <c r="U50" s="1"/>
  <c r="T50" s="1"/>
  <c r="S50"/>
  <c r="R50" s="1"/>
  <c r="Q50" s="1"/>
  <c r="P50" s="1"/>
  <c r="O50" s="1"/>
  <c r="N50" s="1"/>
  <c r="M50" s="1"/>
  <c r="L50" s="1"/>
  <c r="K50" s="1"/>
  <c r="J50"/>
  <c r="I50" s="1"/>
  <c r="H50" s="1"/>
  <c r="G50" s="1"/>
  <c r="F50" s="1"/>
  <c r="E50"/>
  <c r="Y49" s="1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Y48" s="1"/>
  <c r="X48"/>
  <c r="W48" s="1"/>
  <c r="V48"/>
  <c r="U48"/>
  <c r="T48"/>
  <c r="S48" s="1"/>
  <c r="R48"/>
  <c r="Q48"/>
  <c r="P48"/>
  <c r="O48" s="1"/>
  <c r="N48"/>
  <c r="M48"/>
  <c r="L48"/>
  <c r="K48" s="1"/>
  <c r="J48"/>
  <c r="I48"/>
  <c r="H48"/>
  <c r="G48" s="1"/>
  <c r="F48"/>
  <c r="E48"/>
  <c r="Y47"/>
  <c r="X47" s="1"/>
  <c r="W47" s="1"/>
  <c r="V47" s="1"/>
  <c r="U47"/>
  <c r="T47" s="1"/>
  <c r="S47" s="1"/>
  <c r="R47" s="1"/>
  <c r="Q47"/>
  <c r="P47" s="1"/>
  <c r="O47" s="1"/>
  <c r="N47" s="1"/>
  <c r="M47"/>
  <c r="L47" s="1"/>
  <c r="K47" s="1"/>
  <c r="J47" s="1"/>
  <c r="I47"/>
  <c r="H47" s="1"/>
  <c r="G47" s="1"/>
  <c r="F47" s="1"/>
  <c r="E47"/>
  <c r="Y46" s="1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Y45" s="1"/>
  <c r="X45" s="1"/>
  <c r="W45"/>
  <c r="V45" s="1"/>
  <c r="U45"/>
  <c r="T45" s="1"/>
  <c r="S45"/>
  <c r="R45" s="1"/>
  <c r="Q45"/>
  <c r="P45" s="1"/>
  <c r="O45"/>
  <c r="N45" s="1"/>
  <c r="M45"/>
  <c r="L45" s="1"/>
  <c r="K45"/>
  <c r="J45" s="1"/>
  <c r="I45"/>
  <c r="H45" s="1"/>
  <c r="G45"/>
  <c r="F45" s="1"/>
  <c r="E45"/>
  <c r="Y44" s="1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Y43"/>
  <c r="X43" s="1"/>
  <c r="W43"/>
  <c r="V43"/>
  <c r="U43"/>
  <c r="T43" s="1"/>
  <c r="S43"/>
  <c r="R43"/>
  <c r="Q43"/>
  <c r="P43" s="1"/>
  <c r="O43"/>
  <c r="N43"/>
  <c r="M43"/>
  <c r="L43" s="1"/>
  <c r="K43"/>
  <c r="J43"/>
  <c r="I43"/>
  <c r="H43" s="1"/>
  <c r="G43"/>
  <c r="F43"/>
  <c r="E43"/>
  <c r="Y42"/>
  <c r="X42"/>
  <c r="W42"/>
  <c r="V42"/>
  <c r="U42" s="1"/>
  <c r="T42"/>
  <c r="S42"/>
  <c r="R42"/>
  <c r="Q42" s="1"/>
  <c r="P42"/>
  <c r="O42"/>
  <c r="N42"/>
  <c r="M42" s="1"/>
  <c r="L42"/>
  <c r="K42"/>
  <c r="J42"/>
  <c r="I42" s="1"/>
  <c r="H42"/>
  <c r="G42"/>
  <c r="F42"/>
  <c r="E42"/>
  <c r="Y41"/>
  <c r="X41"/>
  <c r="W41"/>
  <c r="V41" s="1"/>
  <c r="U41" s="1"/>
  <c r="T41"/>
  <c r="S41"/>
  <c r="R41" s="1"/>
  <c r="Q41" s="1"/>
  <c r="P41"/>
  <c r="O41"/>
  <c r="N41" s="1"/>
  <c r="M41" s="1"/>
  <c r="L41"/>
  <c r="K41"/>
  <c r="J41" s="1"/>
  <c r="I41" s="1"/>
  <c r="H41"/>
  <c r="G41"/>
  <c r="F41" s="1"/>
  <c r="E41"/>
  <c r="Q40"/>
  <c r="Y39"/>
  <c r="Q39"/>
  <c r="V38"/>
  <c r="U38"/>
  <c r="T38" s="1"/>
  <c r="S38" s="1"/>
  <c r="R38"/>
  <c r="Q38"/>
  <c r="P38" s="1"/>
  <c r="O38"/>
  <c r="N38" s="1"/>
  <c r="M38"/>
  <c r="L38"/>
  <c r="K38"/>
  <c r="J38"/>
  <c r="I38"/>
  <c r="H38" s="1"/>
  <c r="G38"/>
  <c r="F38" s="1"/>
  <c r="E38"/>
  <c r="Y37"/>
  <c r="Y36" s="1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Y35" s="1"/>
  <c r="W35"/>
  <c r="V35"/>
  <c r="U35"/>
  <c r="T35"/>
  <c r="S35"/>
  <c r="R35"/>
  <c r="P35"/>
  <c r="O35"/>
  <c r="N35"/>
  <c r="M35"/>
  <c r="L35"/>
  <c r="K35"/>
  <c r="I35"/>
  <c r="H35"/>
  <c r="F35"/>
  <c r="E35"/>
  <c r="Y34"/>
  <c r="X34"/>
  <c r="W34"/>
  <c r="V34" s="1"/>
  <c r="U34"/>
  <c r="T34"/>
  <c r="S34"/>
  <c r="R34" s="1"/>
  <c r="Q34"/>
  <c r="P34"/>
  <c r="O34"/>
  <c r="N34" s="1"/>
  <c r="M34"/>
  <c r="L34"/>
  <c r="K34"/>
  <c r="J34"/>
  <c r="I34"/>
  <c r="H34"/>
  <c r="G34"/>
  <c r="F34" s="1"/>
  <c r="E34"/>
  <c r="Y33" s="1"/>
  <c r="W33"/>
  <c r="R33"/>
  <c r="P33"/>
  <c r="O33"/>
  <c r="M33"/>
  <c r="K33"/>
  <c r="I33"/>
  <c r="H33"/>
  <c r="F33"/>
  <c r="Y32" s="1"/>
  <c r="X32"/>
  <c r="W32"/>
  <c r="V32"/>
  <c r="U32"/>
  <c r="T32"/>
  <c r="S32"/>
  <c r="R32"/>
  <c r="Q32"/>
  <c r="P32"/>
  <c r="O32"/>
  <c r="N32"/>
  <c r="M32" s="1"/>
  <c r="L32"/>
  <c r="K32"/>
  <c r="J32"/>
  <c r="I32" s="1"/>
  <c r="H32"/>
  <c r="G32"/>
  <c r="F32"/>
  <c r="E32"/>
  <c r="Y31" s="1"/>
  <c r="X31"/>
  <c r="W31"/>
  <c r="V31"/>
  <c r="U31"/>
  <c r="T31"/>
  <c r="S31"/>
  <c r="R31"/>
  <c r="Q31"/>
  <c r="P31"/>
  <c r="O31"/>
  <c r="N31" s="1"/>
  <c r="M31" s="1"/>
  <c r="L31"/>
  <c r="K31"/>
  <c r="J31" s="1"/>
  <c r="I31" s="1"/>
  <c r="H31"/>
  <c r="G31"/>
  <c r="F31" s="1"/>
  <c r="E31"/>
  <c r="Y30"/>
  <c r="Y29" s="1"/>
  <c r="W29"/>
  <c r="V29"/>
  <c r="U29"/>
  <c r="T29"/>
  <c r="S29"/>
  <c r="R29"/>
  <c r="Q29"/>
  <c r="P29"/>
  <c r="O29"/>
  <c r="N29"/>
  <c r="M29"/>
  <c r="L29"/>
  <c r="K29"/>
  <c r="I29"/>
  <c r="H29"/>
  <c r="F29"/>
  <c r="E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Y27" s="1"/>
  <c r="X27"/>
  <c r="W27" s="1"/>
  <c r="V27" s="1"/>
  <c r="U27"/>
  <c r="T27"/>
  <c r="S27" s="1"/>
  <c r="R27" s="1"/>
  <c r="Q27"/>
  <c r="P27"/>
  <c r="O27" s="1"/>
  <c r="N27" s="1"/>
  <c r="M27"/>
  <c r="L27" s="1"/>
  <c r="K27" s="1"/>
  <c r="J27"/>
  <c r="I27"/>
  <c r="H27" s="1"/>
  <c r="G27" s="1"/>
  <c r="F27" s="1"/>
  <c r="E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5"/>
  <c r="X25"/>
  <c r="W25"/>
  <c r="V25"/>
  <c r="U25" s="1"/>
  <c r="T25" s="1"/>
  <c r="S25"/>
  <c r="R25"/>
  <c r="Q25" s="1"/>
  <c r="P25" s="1"/>
  <c r="O25"/>
  <c r="N25"/>
  <c r="M25" s="1"/>
  <c r="L25" s="1"/>
  <c r="K25"/>
  <c r="J25"/>
  <c r="I25" s="1"/>
  <c r="H25" s="1"/>
  <c r="G25"/>
  <c r="F25" s="1"/>
  <c r="E25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Y22" s="1"/>
  <c r="X22" s="1"/>
  <c r="W22"/>
  <c r="V22" s="1"/>
  <c r="U22"/>
  <c r="T22" s="1"/>
  <c r="S22"/>
  <c r="R22" s="1"/>
  <c r="Q22"/>
  <c r="P22" s="1"/>
  <c r="O22"/>
  <c r="N22" s="1"/>
  <c r="M22"/>
  <c r="L22" s="1"/>
  <c r="K22"/>
  <c r="J22"/>
  <c r="I22" s="1"/>
  <c r="H22" s="1"/>
  <c r="G22"/>
  <c r="F22" s="1"/>
  <c r="E22" s="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Y20"/>
  <c r="X20" s="1"/>
  <c r="W20"/>
  <c r="V20" s="1"/>
  <c r="U20" s="1"/>
  <c r="T20" s="1"/>
  <c r="S20"/>
  <c r="R20" s="1"/>
  <c r="Q20" s="1"/>
  <c r="P20" s="1"/>
  <c r="O20"/>
  <c r="N20"/>
  <c r="M20" s="1"/>
  <c r="L20" s="1"/>
  <c r="K20"/>
  <c r="J20" s="1"/>
  <c r="I20" s="1"/>
  <c r="H20" s="1"/>
  <c r="G20" s="1"/>
  <c r="F20"/>
  <c r="E20"/>
  <c r="Y19"/>
  <c r="Y18" s="1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Y17"/>
  <c r="Y16"/>
  <c r="X15"/>
  <c r="W15" s="1"/>
  <c r="V15"/>
  <c r="U15"/>
  <c r="T15"/>
  <c r="S15" s="1"/>
  <c r="R15"/>
  <c r="Q15"/>
  <c r="P15"/>
  <c r="O15" s="1"/>
  <c r="N15"/>
  <c r="M15"/>
  <c r="L15"/>
  <c r="K15" s="1"/>
  <c r="J15"/>
  <c r="J4" s="1"/>
  <c r="I15"/>
  <c r="H15"/>
  <c r="G15" s="1"/>
  <c r="F15"/>
  <c r="E15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Y12"/>
  <c r="X12"/>
  <c r="W12"/>
  <c r="V12" s="1"/>
  <c r="U12" s="1"/>
  <c r="T12" s="1"/>
  <c r="S12"/>
  <c r="R12" s="1"/>
  <c r="Q12" s="1"/>
  <c r="P12" s="1"/>
  <c r="O12"/>
  <c r="N12" s="1"/>
  <c r="M12" s="1"/>
  <c r="L12" s="1"/>
  <c r="K12"/>
  <c r="J12" s="1"/>
  <c r="I12" s="1"/>
  <c r="H12" s="1"/>
  <c r="G12"/>
  <c r="F12" s="1"/>
  <c r="E12"/>
  <c r="Y11" s="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Y10" s="1"/>
  <c r="X10" s="1"/>
  <c r="W10"/>
  <c r="V10"/>
  <c r="U10"/>
  <c r="T10" s="1"/>
  <c r="S10"/>
  <c r="R10"/>
  <c r="Q10"/>
  <c r="P10" s="1"/>
  <c r="O10"/>
  <c r="N10"/>
  <c r="M10"/>
  <c r="L10" s="1"/>
  <c r="K10"/>
  <c r="J10"/>
  <c r="I10"/>
  <c r="H10" s="1"/>
  <c r="G10"/>
  <c r="F10"/>
  <c r="E10"/>
  <c r="Y9" s="1"/>
  <c r="W9"/>
  <c r="V9"/>
  <c r="U9"/>
  <c r="T9"/>
  <c r="S9"/>
  <c r="R9"/>
  <c r="Q9"/>
  <c r="P9"/>
  <c r="O9"/>
  <c r="N9"/>
  <c r="M9"/>
  <c r="L9"/>
  <c r="K9"/>
  <c r="I9"/>
  <c r="H9"/>
  <c r="F9"/>
  <c r="E9"/>
  <c r="Y8"/>
  <c r="X8" s="1"/>
  <c r="W8" s="1"/>
  <c r="V8"/>
  <c r="U8"/>
  <c r="T8" s="1"/>
  <c r="S8" s="1"/>
  <c r="R8"/>
  <c r="Q8"/>
  <c r="P8" s="1"/>
  <c r="O8" s="1"/>
  <c r="N8"/>
  <c r="M8"/>
  <c r="L8" s="1"/>
  <c r="K8" s="1"/>
  <c r="J8"/>
  <c r="I8"/>
  <c r="H8" s="1"/>
  <c r="G8" s="1"/>
  <c r="F8"/>
  <c r="E8"/>
  <c r="Y7" s="1"/>
  <c r="W7"/>
  <c r="V7"/>
  <c r="U7"/>
  <c r="T7"/>
  <c r="S7"/>
  <c r="R7"/>
  <c r="Q7"/>
  <c r="P7"/>
  <c r="O7"/>
  <c r="N7"/>
  <c r="M7"/>
  <c r="L7"/>
  <c r="K7"/>
  <c r="I7"/>
  <c r="H7"/>
  <c r="F7"/>
  <c r="E7"/>
  <c r="Y6" s="1"/>
  <c r="W6"/>
  <c r="V6"/>
  <c r="U6"/>
  <c r="T6"/>
  <c r="S6"/>
  <c r="R6"/>
  <c r="Q6"/>
  <c r="P6"/>
  <c r="O6"/>
  <c r="N6"/>
  <c r="M6"/>
  <c r="L6"/>
  <c r="K6"/>
  <c r="I6"/>
  <c r="H6"/>
  <c r="F6"/>
  <c r="E6"/>
  <c r="Y5"/>
  <c r="X5"/>
  <c r="W5"/>
  <c r="V5"/>
  <c r="U5"/>
  <c r="T5" s="1"/>
  <c r="S5"/>
  <c r="R5"/>
  <c r="Q5"/>
  <c r="P5" s="1"/>
  <c r="O5"/>
  <c r="N5"/>
  <c r="M5"/>
  <c r="L5" s="1"/>
  <c r="K5"/>
  <c r="J5"/>
  <c r="I5"/>
  <c r="H5" s="1"/>
  <c r="G5"/>
  <c r="F5"/>
  <c r="E5"/>
  <c r="X4"/>
  <c r="O4"/>
  <c r="N4" s="1"/>
  <c r="M4"/>
  <c r="L4" s="1"/>
  <c r="K4" s="1"/>
  <c r="K74" s="1"/>
  <c r="H4"/>
  <c r="G4" s="1"/>
  <c r="F4" s="1"/>
  <c r="E4" s="1"/>
  <c r="E74" s="1"/>
  <c r="X3"/>
  <c r="V3"/>
  <c r="U3"/>
  <c r="T3"/>
  <c r="S3"/>
  <c r="R3"/>
  <c r="Q3"/>
  <c r="P3"/>
  <c r="N3"/>
  <c r="W4" l="1"/>
  <c r="I4"/>
  <c r="J74"/>
  <c r="J3"/>
  <c r="M3"/>
  <c r="H3"/>
  <c r="L3"/>
  <c r="Y4"/>
  <c r="Y74" s="1"/>
  <c r="Y15"/>
  <c r="M74"/>
  <c r="G3"/>
  <c r="K3"/>
  <c r="H74"/>
  <c r="L74"/>
  <c r="F3"/>
  <c r="G74"/>
  <c r="F74"/>
  <c r="E3"/>
  <c r="O3"/>
  <c r="Y40"/>
  <c r="V4" l="1"/>
  <c r="U4" s="1"/>
  <c r="T4" s="1"/>
  <c r="S4" s="1"/>
  <c r="R4" s="1"/>
  <c r="Q4" s="1"/>
  <c r="P4" s="1"/>
  <c r="W74"/>
  <c r="I74"/>
  <c r="I3"/>
  <c r="L11" i="34" l="1"/>
  <c r="K11"/>
  <c r="J11"/>
  <c r="I11"/>
  <c r="H11"/>
  <c r="G11"/>
  <c r="F11"/>
  <c r="E11"/>
  <c r="D11"/>
  <c r="M10"/>
  <c r="N10" s="1"/>
  <c r="M9"/>
  <c r="M8"/>
  <c r="N8" s="1"/>
  <c r="M7"/>
  <c r="N6"/>
  <c r="M6"/>
  <c r="M5"/>
  <c r="N5" s="1"/>
  <c r="D14" i="37"/>
  <c r="E13"/>
  <c r="E12"/>
  <c r="E11"/>
  <c r="E10"/>
  <c r="E9"/>
  <c r="E8"/>
  <c r="E7"/>
  <c r="E6"/>
  <c r="E5"/>
  <c r="E4"/>
  <c r="E3"/>
  <c r="J15" i="35"/>
  <c r="I15"/>
  <c r="H15"/>
  <c r="G15"/>
  <c r="F15"/>
  <c r="E15"/>
  <c r="D15"/>
  <c r="K14"/>
  <c r="K13"/>
  <c r="K12"/>
  <c r="K11"/>
  <c r="K10"/>
  <c r="L9" s="1"/>
  <c r="K9"/>
  <c r="K8"/>
  <c r="L7" s="1"/>
  <c r="K7"/>
  <c r="K6"/>
  <c r="L5" s="1"/>
  <c r="K5"/>
  <c r="F13" i="36"/>
  <c r="E13"/>
  <c r="H12"/>
  <c r="G12"/>
  <c r="H11"/>
  <c r="G11"/>
  <c r="H10"/>
  <c r="G10"/>
  <c r="I10" s="1"/>
  <c r="H9"/>
  <c r="G9"/>
  <c r="H8"/>
  <c r="G8"/>
  <c r="H7"/>
  <c r="G7"/>
  <c r="H6"/>
  <c r="G6"/>
  <c r="I5" s="1"/>
  <c r="H5"/>
  <c r="G5"/>
  <c r="H4"/>
  <c r="G4"/>
  <c r="H3"/>
  <c r="G3"/>
  <c r="N7" i="34" l="1"/>
  <c r="N9"/>
  <c r="E14" i="37"/>
  <c r="L13" i="35"/>
  <c r="L11"/>
  <c r="L6"/>
  <c r="L10"/>
  <c r="L14"/>
  <c r="K15"/>
  <c r="L8"/>
  <c r="L12"/>
  <c r="I11" i="36"/>
  <c r="I7"/>
  <c r="I3"/>
  <c r="I8"/>
  <c r="I4"/>
  <c r="I6"/>
  <c r="I9"/>
  <c r="I12"/>
  <c r="I13" s="1"/>
  <c r="H13" s="1"/>
  <c r="G13" s="1"/>
  <c r="N11" i="34" l="1"/>
  <c r="M11" s="1"/>
  <c r="L15" i="35"/>
  <c r="AM23" i="32" l="1"/>
  <c r="AB23"/>
  <c r="AA23"/>
  <c r="Z23"/>
  <c r="Y23"/>
  <c r="W23"/>
  <c r="V23"/>
  <c r="U23"/>
  <c r="T23"/>
  <c r="M23"/>
  <c r="L23"/>
  <c r="K23"/>
  <c r="J23"/>
  <c r="H23"/>
  <c r="G23"/>
  <c r="F23"/>
  <c r="E23"/>
  <c r="D23"/>
  <c r="AJ22"/>
  <c r="AC22"/>
  <c r="AL22" s="1"/>
  <c r="X22"/>
  <c r="R22"/>
  <c r="Q22"/>
  <c r="P22"/>
  <c r="O22"/>
  <c r="N22"/>
  <c r="I22"/>
  <c r="AJ21"/>
  <c r="AC21"/>
  <c r="AL21" s="1"/>
  <c r="X21"/>
  <c r="R21"/>
  <c r="Q21"/>
  <c r="P21"/>
  <c r="O21"/>
  <c r="N21"/>
  <c r="I21"/>
  <c r="AK21" l="1"/>
  <c r="AE21"/>
  <c r="AE22"/>
  <c r="AK22"/>
  <c r="S21"/>
  <c r="S22"/>
  <c r="AI22"/>
  <c r="AF21"/>
  <c r="AF22"/>
  <c r="AH22"/>
  <c r="AI21"/>
  <c r="AH21" s="1"/>
  <c r="AG21"/>
  <c r="AG22"/>
  <c r="AJ20"/>
  <c r="AC20"/>
  <c r="AL20" s="1"/>
  <c r="X20"/>
  <c r="R20"/>
  <c r="Q20"/>
  <c r="P20"/>
  <c r="O20"/>
  <c r="N20"/>
  <c r="I20"/>
  <c r="AJ19"/>
  <c r="AG19"/>
  <c r="AF19" s="1"/>
  <c r="AE19"/>
  <c r="AC19"/>
  <c r="AL19" s="1"/>
  <c r="X19"/>
  <c r="R19"/>
  <c r="Q19"/>
  <c r="P19"/>
  <c r="O19"/>
  <c r="N19"/>
  <c r="I19"/>
  <c r="AJ18"/>
  <c r="AF18"/>
  <c r="AE18"/>
  <c r="AC18"/>
  <c r="AL18" s="1"/>
  <c r="X18"/>
  <c r="R18"/>
  <c r="Q18"/>
  <c r="P18"/>
  <c r="O18"/>
  <c r="N18"/>
  <c r="I18"/>
  <c r="AJ17"/>
  <c r="AC17"/>
  <c r="AL17" s="1"/>
  <c r="X17"/>
  <c r="R17"/>
  <c r="Q17"/>
  <c r="P17"/>
  <c r="O17"/>
  <c r="N17"/>
  <c r="I17"/>
  <c r="AJ16"/>
  <c r="AC16"/>
  <c r="AL16" s="1"/>
  <c r="X16"/>
  <c r="R16"/>
  <c r="Q16"/>
  <c r="P16"/>
  <c r="O16"/>
  <c r="N16"/>
  <c r="I16"/>
  <c r="AJ15"/>
  <c r="AC15"/>
  <c r="AL15" s="1"/>
  <c r="X15"/>
  <c r="R15"/>
  <c r="Q15"/>
  <c r="P15"/>
  <c r="O15"/>
  <c r="N15"/>
  <c r="I15"/>
  <c r="AJ14"/>
  <c r="AC14"/>
  <c r="AL14" s="1"/>
  <c r="X14"/>
  <c r="R14"/>
  <c r="Q14"/>
  <c r="P14"/>
  <c r="O14"/>
  <c r="N14"/>
  <c r="I14"/>
  <c r="AJ13"/>
  <c r="AG13"/>
  <c r="AC13"/>
  <c r="AL13" s="1"/>
  <c r="X13"/>
  <c r="R13"/>
  <c r="Q13"/>
  <c r="P13"/>
  <c r="O13"/>
  <c r="N13"/>
  <c r="I13"/>
  <c r="AJ12"/>
  <c r="AC12"/>
  <c r="AL12" s="1"/>
  <c r="X12"/>
  <c r="R12"/>
  <c r="Q12"/>
  <c r="P12"/>
  <c r="O12"/>
  <c r="N12"/>
  <c r="I12"/>
  <c r="AJ11"/>
  <c r="AC11"/>
  <c r="AL11" s="1"/>
  <c r="X11"/>
  <c r="R11"/>
  <c r="Q11"/>
  <c r="P11"/>
  <c r="O11"/>
  <c r="N11"/>
  <c r="I11"/>
  <c r="AJ10"/>
  <c r="AC10"/>
  <c r="AL10" s="1"/>
  <c r="X10"/>
  <c r="R10"/>
  <c r="Q10"/>
  <c r="P10"/>
  <c r="O10"/>
  <c r="N10"/>
  <c r="I10"/>
  <c r="AJ9"/>
  <c r="AF9"/>
  <c r="AC9"/>
  <c r="AL9" s="1"/>
  <c r="X9"/>
  <c r="R9"/>
  <c r="Q9"/>
  <c r="P9"/>
  <c r="O9"/>
  <c r="N9"/>
  <c r="I9"/>
  <c r="AJ8"/>
  <c r="AC8"/>
  <c r="AL8" s="1"/>
  <c r="X8"/>
  <c r="R8"/>
  <c r="Q8"/>
  <c r="P8"/>
  <c r="O8"/>
  <c r="S8" s="1"/>
  <c r="N8"/>
  <c r="I8"/>
  <c r="AJ7"/>
  <c r="AC7"/>
  <c r="AL7" s="1"/>
  <c r="X7"/>
  <c r="R7"/>
  <c r="Q7"/>
  <c r="P7"/>
  <c r="O7"/>
  <c r="N7"/>
  <c r="I7"/>
  <c r="AJ6"/>
  <c r="AC6"/>
  <c r="AL6" s="1"/>
  <c r="X6"/>
  <c r="R6"/>
  <c r="Q6"/>
  <c r="P6"/>
  <c r="O6"/>
  <c r="N6"/>
  <c r="I6"/>
  <c r="AJ5"/>
  <c r="AC5"/>
  <c r="AL5" s="1"/>
  <c r="X5"/>
  <c r="R5"/>
  <c r="Q5"/>
  <c r="P5"/>
  <c r="O5"/>
  <c r="N5"/>
  <c r="I5"/>
  <c r="AJ4"/>
  <c r="AG4"/>
  <c r="AC4"/>
  <c r="AK4" s="1"/>
  <c r="X4"/>
  <c r="R4"/>
  <c r="Q4"/>
  <c r="P4"/>
  <c r="O4"/>
  <c r="N4"/>
  <c r="I4"/>
  <c r="I23" s="1"/>
  <c r="AK10" l="1"/>
  <c r="S15"/>
  <c r="AE17"/>
  <c r="AE9"/>
  <c r="AF10"/>
  <c r="AF20"/>
  <c r="AE10"/>
  <c r="AF17"/>
  <c r="AE20"/>
  <c r="P23"/>
  <c r="S7"/>
  <c r="AI10"/>
  <c r="S14"/>
  <c r="AK17"/>
  <c r="AK18"/>
  <c r="AK19"/>
  <c r="O23"/>
  <c r="X23"/>
  <c r="S6"/>
  <c r="AE8"/>
  <c r="S9"/>
  <c r="AG10"/>
  <c r="AG11"/>
  <c r="AF11" s="1"/>
  <c r="S17"/>
  <c r="S18"/>
  <c r="AI18"/>
  <c r="S19"/>
  <c r="S20"/>
  <c r="AI20"/>
  <c r="AN21"/>
  <c r="AE11"/>
  <c r="AK11"/>
  <c r="S13"/>
  <c r="S16"/>
  <c r="AN22"/>
  <c r="AK9"/>
  <c r="S11"/>
  <c r="AH11"/>
  <c r="AL4"/>
  <c r="AL23" s="1"/>
  <c r="AC23"/>
  <c r="AH4"/>
  <c r="AE5"/>
  <c r="AE6"/>
  <c r="AI6"/>
  <c r="AE7"/>
  <c r="AI8"/>
  <c r="S10"/>
  <c r="AH12"/>
  <c r="AI13"/>
  <c r="AH13" s="1"/>
  <c r="AE14"/>
  <c r="AI14"/>
  <c r="AE15"/>
  <c r="AE16"/>
  <c r="AI16"/>
  <c r="AI5"/>
  <c r="AH5" s="1"/>
  <c r="AH6"/>
  <c r="AI7"/>
  <c r="AH8"/>
  <c r="S12"/>
  <c r="AG12"/>
  <c r="AK12"/>
  <c r="AH14"/>
  <c r="AI15"/>
  <c r="AH16"/>
  <c r="N23"/>
  <c r="S4"/>
  <c r="AF4"/>
  <c r="S5"/>
  <c r="AG5"/>
  <c r="AG6"/>
  <c r="AH7"/>
  <c r="AG8"/>
  <c r="AI9"/>
  <c r="AH9" s="1"/>
  <c r="AF12"/>
  <c r="AF13"/>
  <c r="AK13"/>
  <c r="AG14"/>
  <c r="AH15"/>
  <c r="AG16"/>
  <c r="AI17"/>
  <c r="AH17" s="1"/>
  <c r="AH18"/>
  <c r="AI19"/>
  <c r="AH20"/>
  <c r="AE4"/>
  <c r="AI4"/>
  <c r="AF5"/>
  <c r="AK5"/>
  <c r="AF6"/>
  <c r="AK6"/>
  <c r="AG7"/>
  <c r="AF7" s="1"/>
  <c r="AK7"/>
  <c r="AF8"/>
  <c r="AG9"/>
  <c r="AH10"/>
  <c r="AI11"/>
  <c r="AN11" s="1"/>
  <c r="AE12"/>
  <c r="AI12"/>
  <c r="AE13"/>
  <c r="AF14"/>
  <c r="AK14"/>
  <c r="AG15"/>
  <c r="AF15" s="1"/>
  <c r="AK15"/>
  <c r="AF16"/>
  <c r="AG17"/>
  <c r="AN17" s="1"/>
  <c r="AG18"/>
  <c r="AN18" s="1"/>
  <c r="AH19"/>
  <c r="AG20"/>
  <c r="AN9" l="1"/>
  <c r="AG23"/>
  <c r="AN19"/>
  <c r="AN10"/>
  <c r="S23"/>
  <c r="AN6"/>
  <c r="AE23"/>
  <c r="AN15"/>
  <c r="R23"/>
  <c r="Q23" s="1"/>
  <c r="AI23"/>
  <c r="AN7"/>
  <c r="AF23"/>
  <c r="AN14"/>
  <c r="AO14" s="1"/>
  <c r="AN5"/>
  <c r="AH23" l="1"/>
  <c r="C23" i="31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3" s="1"/>
  <c r="W38" i="22" l="1"/>
  <c r="Y38"/>
  <c r="X38"/>
  <c r="W3"/>
  <c r="Y3" s="1"/>
  <c r="AN4" i="32" l="1"/>
  <c r="AO4" s="1"/>
  <c r="AO5"/>
  <c r="AO6"/>
  <c r="AO7"/>
  <c r="AO9"/>
  <c r="AO10"/>
  <c r="AO11"/>
  <c r="AN12"/>
  <c r="AO12" s="1"/>
  <c r="AN13"/>
  <c r="AO13" s="1"/>
  <c r="AO15"/>
  <c r="AO17"/>
  <c r="AO18"/>
  <c r="AO19"/>
  <c r="AO21"/>
  <c r="AO22"/>
  <c r="AK8"/>
  <c r="AK16"/>
  <c r="AN16" s="1"/>
  <c r="AO16" s="1"/>
  <c r="AN8" l="1"/>
  <c r="AO8" l="1"/>
  <c r="AK20" l="1"/>
  <c r="AK23" s="1"/>
  <c r="AJ23"/>
  <c r="AN20" l="1"/>
  <c r="AN23" s="1"/>
  <c r="AO20" l="1"/>
  <c r="AO23" s="1"/>
</calcChain>
</file>

<file path=xl/sharedStrings.xml><?xml version="1.0" encoding="utf-8"?>
<sst xmlns="http://schemas.openxmlformats.org/spreadsheetml/2006/main" count="1074" uniqueCount="575">
  <si>
    <t>工资福利支出</t>
  </si>
  <si>
    <t>单位</t>
  </si>
  <si>
    <t>七宝</t>
  </si>
  <si>
    <t>序号</t>
  </si>
  <si>
    <t>项目名称</t>
  </si>
  <si>
    <t>功能分类</t>
  </si>
  <si>
    <t>口径</t>
  </si>
  <si>
    <t>合计</t>
  </si>
  <si>
    <t>备注</t>
  </si>
  <si>
    <t>1</t>
  </si>
  <si>
    <t>基本支出总预算数</t>
  </si>
  <si>
    <t>公式计算</t>
  </si>
  <si>
    <t>2</t>
  </si>
  <si>
    <t>3</t>
  </si>
  <si>
    <t>　　基本工资</t>
  </si>
  <si>
    <t>4</t>
  </si>
  <si>
    <t>　　　　1、岗位工资</t>
  </si>
  <si>
    <t>主款项</t>
  </si>
  <si>
    <t>根据人事口径按实编制</t>
  </si>
  <si>
    <t>5</t>
  </si>
  <si>
    <t>　　　　2、薪级工资</t>
  </si>
  <si>
    <t>6</t>
  </si>
  <si>
    <t>　　津贴补贴</t>
  </si>
  <si>
    <t>7</t>
  </si>
  <si>
    <t>　　　　1、各类津贴★▲</t>
  </si>
  <si>
    <t>8</t>
  </si>
  <si>
    <t>　　　　2、各类补贴</t>
  </si>
  <si>
    <t>9</t>
  </si>
  <si>
    <t>10</t>
  </si>
  <si>
    <t>　　其他社会保障缴费</t>
  </si>
  <si>
    <t>注：社保缴费基数应该相同</t>
  </si>
  <si>
    <t>11</t>
  </si>
  <si>
    <t>公式计算（请检查）</t>
  </si>
  <si>
    <t>12</t>
  </si>
  <si>
    <t>13</t>
  </si>
  <si>
    <t>　　绩效工资</t>
  </si>
  <si>
    <t>14</t>
  </si>
  <si>
    <t>　　　　1、绩效工资</t>
  </si>
  <si>
    <t>15</t>
  </si>
  <si>
    <t>　　　　2、校长职级制</t>
  </si>
  <si>
    <t>根据校长职级制按实编制</t>
  </si>
  <si>
    <t>16</t>
  </si>
  <si>
    <t>17</t>
  </si>
  <si>
    <t>18</t>
  </si>
  <si>
    <t xml:space="preserve">   城镇职工基本医疗保险缴费</t>
  </si>
  <si>
    <t>19</t>
  </si>
  <si>
    <t>事业单位医疗</t>
  </si>
  <si>
    <t>20</t>
  </si>
  <si>
    <t>21</t>
  </si>
  <si>
    <r>
      <t xml:space="preserve">          (</t>
    </r>
    <r>
      <rPr>
        <sz val="9"/>
        <color indexed="8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)其他保险2%(统筹)</t>
    </r>
  </si>
  <si>
    <t>22</t>
  </si>
  <si>
    <r>
      <t xml:space="preserve">          (</t>
    </r>
    <r>
      <rPr>
        <sz val="9"/>
        <color indexed="8"/>
        <rFont val="宋体"/>
        <family val="3"/>
        <charset val="134"/>
      </rPr>
      <t>2</t>
    </r>
    <r>
      <rPr>
        <sz val="9"/>
        <color indexed="8"/>
        <rFont val="宋体"/>
        <family val="3"/>
        <charset val="134"/>
      </rPr>
      <t>)其他保险2%(单位)</t>
    </r>
  </si>
  <si>
    <t>23</t>
  </si>
  <si>
    <t>　　事业单位基本养老保险缴费</t>
  </si>
  <si>
    <t>24</t>
  </si>
  <si>
    <t>养老保险</t>
  </si>
  <si>
    <t>25</t>
  </si>
  <si>
    <t>　　职业年金缴纳</t>
  </si>
  <si>
    <t>26</t>
  </si>
  <si>
    <t>　　　　1、职业年金8%</t>
  </si>
  <si>
    <t>职业年金</t>
  </si>
  <si>
    <t>27</t>
  </si>
  <si>
    <t>公积金</t>
  </si>
  <si>
    <t>28</t>
  </si>
  <si>
    <t>29</t>
  </si>
  <si>
    <t>对个人和家庭补助</t>
  </si>
  <si>
    <t>30</t>
  </si>
  <si>
    <t>离退休</t>
  </si>
  <si>
    <t>31</t>
  </si>
  <si>
    <t>32</t>
  </si>
  <si>
    <t>　　奖励金</t>
  </si>
  <si>
    <t>33</t>
  </si>
  <si>
    <t>　　　　1、独生子女奖励费▲</t>
  </si>
  <si>
    <t>34</t>
  </si>
  <si>
    <t>　　其他支出对个人和家庭补助</t>
  </si>
  <si>
    <t>35</t>
  </si>
  <si>
    <t>除罗阳小学3人及七宝二中1人的退休共享费外，其他学校填0</t>
  </si>
  <si>
    <t>36</t>
  </si>
  <si>
    <t>商品和服务支出和其他资本性支出</t>
  </si>
  <si>
    <t>37</t>
  </si>
  <si>
    <t>　　(一)公用定额</t>
  </si>
  <si>
    <t>学生人数*定额</t>
  </si>
  <si>
    <t>38</t>
  </si>
  <si>
    <t>39</t>
  </si>
  <si>
    <t>　　(二)培训费</t>
  </si>
  <si>
    <t>40</t>
  </si>
  <si>
    <t>　　　　1、进修、培训 400元/年教师</t>
  </si>
  <si>
    <t>教职工人数*400元（公式计算）</t>
  </si>
  <si>
    <t>41</t>
  </si>
  <si>
    <t>　　(三)维修(护)费</t>
  </si>
  <si>
    <t>42</t>
  </si>
  <si>
    <t>　　　　1、房屋维修费 15元/年平方米</t>
  </si>
  <si>
    <t>房屋面积*15元（公式计算）</t>
  </si>
  <si>
    <t>43</t>
  </si>
  <si>
    <t>　　(四)物业管理费</t>
  </si>
  <si>
    <t>44</t>
  </si>
  <si>
    <t>　　　　1、绿化维护费 8元/年平方米</t>
  </si>
  <si>
    <t>绿化面积*8元（公式计算）</t>
  </si>
  <si>
    <t>45</t>
  </si>
  <si>
    <t>46</t>
  </si>
  <si>
    <t>教职工人数*4320元（公式计算）</t>
  </si>
  <si>
    <t>47</t>
  </si>
  <si>
    <t>48</t>
  </si>
  <si>
    <t>49</t>
  </si>
  <si>
    <t>　　　　1、工会经费2%</t>
  </si>
  <si>
    <t>50</t>
  </si>
  <si>
    <t>51</t>
  </si>
  <si>
    <t>　　　　1、教育系统，校/辆</t>
  </si>
  <si>
    <t>机关局有编制的车辆数*32000元/年（分园及分校预算在其他交通费中编制）</t>
  </si>
  <si>
    <t>52</t>
  </si>
  <si>
    <t>53</t>
  </si>
  <si>
    <t>54</t>
  </si>
  <si>
    <t>　　　　　　(1)活动费(活动费+活动费(托管))</t>
  </si>
  <si>
    <t>55</t>
  </si>
  <si>
    <t>没有，填0</t>
  </si>
  <si>
    <t>56</t>
  </si>
  <si>
    <t>57</t>
  </si>
  <si>
    <t>　　　　2、教育系统</t>
  </si>
  <si>
    <t>58</t>
  </si>
  <si>
    <t>学校基本情况：</t>
  </si>
  <si>
    <t>59</t>
  </si>
  <si>
    <t>1、教职工(人数)</t>
  </si>
  <si>
    <t>60</t>
  </si>
  <si>
    <t xml:space="preserve">       初中</t>
  </si>
  <si>
    <t>61</t>
  </si>
  <si>
    <t xml:space="preserve">       小学</t>
  </si>
  <si>
    <t>62</t>
  </si>
  <si>
    <t xml:space="preserve">       幼儿园</t>
  </si>
  <si>
    <t>63</t>
  </si>
  <si>
    <t xml:space="preserve">       其他</t>
  </si>
  <si>
    <t>64</t>
  </si>
  <si>
    <t>2、学生(人数)</t>
  </si>
  <si>
    <t>65</t>
  </si>
  <si>
    <t>66</t>
  </si>
  <si>
    <t>67</t>
  </si>
  <si>
    <t>68</t>
  </si>
  <si>
    <t>69</t>
  </si>
  <si>
    <t>70</t>
  </si>
  <si>
    <t>71</t>
  </si>
  <si>
    <t>　　　　　　(1)上下班交通费补贴</t>
    <phoneticPr fontId="2" type="noConversion"/>
  </si>
  <si>
    <t>　　　　1、工伤保险费0.256%</t>
    <phoneticPr fontId="2" type="noConversion"/>
  </si>
  <si>
    <t>　　　　2、失业保险0.5%</t>
    <phoneticPr fontId="2" type="noConversion"/>
  </si>
  <si>
    <t>根据人保科数字编制</t>
    <phoneticPr fontId="2" type="noConversion"/>
  </si>
  <si>
    <t>　　　　3、工作餐补贴</t>
    <phoneticPr fontId="2" type="noConversion"/>
  </si>
  <si>
    <t>　　　　4、课后服务(在编人员）</t>
    <phoneticPr fontId="2" type="noConversion"/>
  </si>
  <si>
    <r>
      <t xml:space="preserve">        1、医疗保险费10</t>
    </r>
    <r>
      <rPr>
        <sz val="9"/>
        <color indexed="8"/>
        <rFont val="宋体"/>
        <family val="3"/>
        <charset val="134"/>
      </rPr>
      <t>%</t>
    </r>
    <phoneticPr fontId="2" type="noConversion"/>
  </si>
  <si>
    <r>
      <t xml:space="preserve">        2、其他医疗保险费4</t>
    </r>
    <r>
      <rPr>
        <sz val="9"/>
        <color indexed="8"/>
        <rFont val="宋体"/>
        <family val="3"/>
        <charset val="134"/>
      </rPr>
      <t>%</t>
    </r>
    <phoneticPr fontId="2" type="noConversion"/>
  </si>
  <si>
    <t>　　　　1、基本养老保险16%</t>
    <phoneticPr fontId="2" type="noConversion"/>
  </si>
  <si>
    <r>
      <t xml:space="preserve"> </t>
    </r>
    <r>
      <rPr>
        <sz val="9"/>
        <color indexed="8"/>
        <rFont val="宋体"/>
        <family val="3"/>
        <charset val="134"/>
      </rPr>
      <t xml:space="preserve">   </t>
    </r>
    <r>
      <rPr>
        <sz val="9"/>
        <color indexed="8"/>
        <rFont val="宋体"/>
        <family val="3"/>
        <charset val="134"/>
      </rPr>
      <t>公积金</t>
    </r>
    <r>
      <rPr>
        <sz val="9"/>
        <color indexed="8"/>
        <rFont val="宋体"/>
        <family val="3"/>
        <charset val="134"/>
      </rPr>
      <t>7%</t>
    </r>
    <phoneticPr fontId="2" type="noConversion"/>
  </si>
  <si>
    <t>根据人事口径按实编制</t>
    <phoneticPr fontId="2" type="noConversion"/>
  </si>
  <si>
    <t xml:space="preserve">    其他工资福利</t>
    <phoneticPr fontId="2" type="noConversion"/>
  </si>
  <si>
    <t>年初预算为0</t>
    <phoneticPr fontId="2" type="noConversion"/>
  </si>
  <si>
    <t xml:space="preserve">    退休费</t>
    <phoneticPr fontId="2" type="noConversion"/>
  </si>
  <si>
    <t>根据退休人员情况按实编制</t>
    <phoneticPr fontId="2" type="noConversion"/>
  </si>
  <si>
    <t xml:space="preserve">        1、退休人员生活补贴</t>
    <phoneticPr fontId="2" type="noConversion"/>
  </si>
  <si>
    <t>　　　　1、其他</t>
    <phoneticPr fontId="2" type="noConversion"/>
  </si>
  <si>
    <t xml:space="preserve">       其中：培训费</t>
    <phoneticPr fontId="2" type="noConversion"/>
  </si>
  <si>
    <t>主款项</t>
    <phoneticPr fontId="2" type="noConversion"/>
  </si>
  <si>
    <t>生均定额5%</t>
    <phoneticPr fontId="2" type="noConversion"/>
  </si>
  <si>
    <t>　　(五)福利费</t>
    <phoneticPr fontId="2" type="noConversion"/>
  </si>
  <si>
    <t>　　　　1、在职福利费</t>
    <phoneticPr fontId="2" type="noConversion"/>
  </si>
  <si>
    <t>　　　　2、离退休福利费</t>
    <phoneticPr fontId="2" type="noConversion"/>
  </si>
  <si>
    <t>离退休人数*4320元（公式计算）</t>
    <phoneticPr fontId="2" type="noConversion"/>
  </si>
  <si>
    <t>　　(六)工会经费</t>
    <phoneticPr fontId="2" type="noConversion"/>
  </si>
  <si>
    <t>　　(七)公务用车运行维护费★</t>
    <phoneticPr fontId="2" type="noConversion"/>
  </si>
  <si>
    <t>　　(八)其他商品和服务支出</t>
    <phoneticPr fontId="2" type="noConversion"/>
  </si>
  <si>
    <t>　　　　1、离退休公用支出</t>
    <phoneticPr fontId="2" type="noConversion"/>
  </si>
  <si>
    <t>离退休人数*400元/年（公式计算）</t>
    <phoneticPr fontId="2" type="noConversion"/>
  </si>
  <si>
    <t>　　　　2、子女幼托费</t>
    <phoneticPr fontId="2" type="noConversion"/>
  </si>
  <si>
    <t>　　(九)其他交通费用</t>
    <phoneticPr fontId="2" type="noConversion"/>
  </si>
  <si>
    <t xml:space="preserve">
机关局无编制车辆的学校按32000元编制预算
机关局有编制的车辆，每分校增加10000元，每个分园增加5000元编制预算</t>
    <phoneticPr fontId="2" type="noConversion"/>
  </si>
  <si>
    <r>
      <t>填写202</t>
    </r>
    <r>
      <rPr>
        <sz val="9"/>
        <color indexed="8"/>
        <rFont val="宋体"/>
        <family val="3"/>
        <charset val="134"/>
      </rPr>
      <t>3</t>
    </r>
    <r>
      <rPr>
        <sz val="9"/>
        <color indexed="8"/>
        <rFont val="宋体"/>
        <family val="3"/>
        <charset val="134"/>
      </rPr>
      <t>年9月在编教职工人数</t>
    </r>
    <phoneticPr fontId="2" type="noConversion"/>
  </si>
  <si>
    <r>
      <t>填写202</t>
    </r>
    <r>
      <rPr>
        <sz val="9"/>
        <color indexed="8"/>
        <rFont val="宋体"/>
        <family val="3"/>
        <charset val="134"/>
      </rPr>
      <t>3</t>
    </r>
    <r>
      <rPr>
        <sz val="9"/>
        <color indexed="8"/>
        <rFont val="宋体"/>
        <family val="3"/>
        <charset val="134"/>
      </rPr>
      <t>年秋季学期学生人数，以招办人数为准</t>
    </r>
    <phoneticPr fontId="2" type="noConversion"/>
  </si>
  <si>
    <t>3、事业退休人员人数</t>
    <phoneticPr fontId="2" type="noConversion"/>
  </si>
  <si>
    <t>4、教育单位房屋（面积）</t>
    <phoneticPr fontId="2" type="noConversion"/>
  </si>
  <si>
    <t>5、教育单位绿化（面积）</t>
    <phoneticPr fontId="2" type="noConversion"/>
  </si>
  <si>
    <t>七宝二中</t>
    <phoneticPr fontId="2" type="noConversion"/>
  </si>
  <si>
    <t>七宝实验中学</t>
    <phoneticPr fontId="2" type="noConversion"/>
  </si>
  <si>
    <t>航华中学</t>
    <phoneticPr fontId="2" type="noConversion"/>
  </si>
  <si>
    <t>七宝三中</t>
    <phoneticPr fontId="2" type="noConversion"/>
  </si>
  <si>
    <t>明强小学</t>
    <phoneticPr fontId="2" type="noConversion"/>
  </si>
  <si>
    <t>黎明小学</t>
    <phoneticPr fontId="2" type="noConversion"/>
  </si>
  <si>
    <t>七宝实小</t>
    <phoneticPr fontId="2" type="noConversion"/>
  </si>
  <si>
    <t>航华二小</t>
    <phoneticPr fontId="2" type="noConversion"/>
  </si>
  <si>
    <t>明强二小</t>
    <phoneticPr fontId="2" type="noConversion"/>
  </si>
  <si>
    <t>中心幼</t>
    <phoneticPr fontId="2" type="noConversion"/>
  </si>
  <si>
    <t>星辰</t>
    <phoneticPr fontId="2" type="noConversion"/>
  </si>
  <si>
    <t>春欣</t>
    <phoneticPr fontId="2" type="noConversion"/>
  </si>
  <si>
    <t>七实幼</t>
    <phoneticPr fontId="2" type="noConversion"/>
  </si>
  <si>
    <t>航华二幼</t>
    <phoneticPr fontId="2" type="noConversion"/>
  </si>
  <si>
    <t>皇都</t>
    <phoneticPr fontId="2" type="noConversion"/>
  </si>
  <si>
    <t>明强幼</t>
    <phoneticPr fontId="2" type="noConversion"/>
  </si>
  <si>
    <t>七宝幼</t>
    <phoneticPr fontId="2" type="noConversion"/>
  </si>
  <si>
    <t>宝盛</t>
    <phoneticPr fontId="2" type="noConversion"/>
  </si>
  <si>
    <t>文来</t>
    <phoneticPr fontId="2" type="noConversion"/>
  </si>
  <si>
    <t>七宝社区</t>
    <phoneticPr fontId="2" type="noConversion"/>
  </si>
  <si>
    <t>属性</t>
  </si>
  <si>
    <t>初中</t>
  </si>
  <si>
    <t>九年一贯</t>
  </si>
  <si>
    <t>小学</t>
  </si>
  <si>
    <t>幼儿园</t>
  </si>
  <si>
    <t>上海市航华中学</t>
  </si>
  <si>
    <t>上海市闵行区七宝第二中学</t>
  </si>
  <si>
    <t>上海市七宝实验中学</t>
  </si>
  <si>
    <t>上海市闵行区七宝第三中学</t>
  </si>
  <si>
    <t>闵行区航华第二小学</t>
  </si>
  <si>
    <t>闵行区七宝镇明强小学</t>
  </si>
  <si>
    <t>闵行区黎明小学</t>
  </si>
  <si>
    <t>上海市七宝实验小学</t>
  </si>
  <si>
    <t>上海市闵行区七宝明强第二小学</t>
  </si>
  <si>
    <t>闵行区航华第二幼儿园</t>
  </si>
  <si>
    <t>闵行区七宝中心幼儿园</t>
  </si>
  <si>
    <t>上海市闵行区星辰幼儿园</t>
  </si>
  <si>
    <t>上海市闵行区春欣幼儿园</t>
  </si>
  <si>
    <t>上海市闵行区七宝皇都幼儿园</t>
  </si>
  <si>
    <t>上海市闵行区七宝实验幼儿园</t>
  </si>
  <si>
    <t>上海市闵行区七宝幼儿园</t>
  </si>
  <si>
    <t>上海市闵行区启英宝盛幼儿园</t>
  </si>
  <si>
    <t>上海市闵行区七宝镇社区学校</t>
  </si>
  <si>
    <t>镇属</t>
    <phoneticPr fontId="1" type="noConversion"/>
  </si>
  <si>
    <t>单位</t>
    <phoneticPr fontId="1" type="noConversion"/>
  </si>
  <si>
    <t>一次分配</t>
    <phoneticPr fontId="1" type="noConversion"/>
  </si>
  <si>
    <t>七宝</t>
    <phoneticPr fontId="1" type="noConversion"/>
  </si>
  <si>
    <t>七宝 汇总</t>
  </si>
  <si>
    <t>公积金预算</t>
    <phoneticPr fontId="1" type="noConversion"/>
  </si>
  <si>
    <t>七宝二中</t>
    <phoneticPr fontId="2" type="noConversion"/>
  </si>
  <si>
    <t>七宝实验中学</t>
    <phoneticPr fontId="2" type="noConversion"/>
  </si>
  <si>
    <t>航华中学</t>
    <phoneticPr fontId="2" type="noConversion"/>
  </si>
  <si>
    <t>七宝三中</t>
    <phoneticPr fontId="2" type="noConversion"/>
  </si>
  <si>
    <t>明强小学</t>
    <phoneticPr fontId="2" type="noConversion"/>
  </si>
  <si>
    <t>黎明小学</t>
    <phoneticPr fontId="2" type="noConversion"/>
  </si>
  <si>
    <t>七宝实小</t>
    <phoneticPr fontId="2" type="noConversion"/>
  </si>
  <si>
    <t>航华二小</t>
    <phoneticPr fontId="2" type="noConversion"/>
  </si>
  <si>
    <t>明强二小</t>
    <phoneticPr fontId="2" type="noConversion"/>
  </si>
  <si>
    <t>中心幼</t>
    <phoneticPr fontId="2" type="noConversion"/>
  </si>
  <si>
    <t>星辰</t>
    <phoneticPr fontId="2" type="noConversion"/>
  </si>
  <si>
    <t>春欣</t>
    <phoneticPr fontId="2" type="noConversion"/>
  </si>
  <si>
    <t>七实幼</t>
    <phoneticPr fontId="2" type="noConversion"/>
  </si>
  <si>
    <t>航华二幼</t>
    <phoneticPr fontId="2" type="noConversion"/>
  </si>
  <si>
    <t>皇都</t>
    <phoneticPr fontId="2" type="noConversion"/>
  </si>
  <si>
    <t>明强幼</t>
    <phoneticPr fontId="2" type="noConversion"/>
  </si>
  <si>
    <t>七宝幼</t>
    <phoneticPr fontId="2" type="noConversion"/>
  </si>
  <si>
    <t>宝盛</t>
    <phoneticPr fontId="2" type="noConversion"/>
  </si>
  <si>
    <t>文来</t>
    <phoneticPr fontId="2" type="noConversion"/>
  </si>
  <si>
    <t>七宝社区</t>
    <phoneticPr fontId="2" type="noConversion"/>
  </si>
  <si>
    <t>镇属</t>
  </si>
  <si>
    <t>学校</t>
  </si>
  <si>
    <t>学段</t>
    <phoneticPr fontId="1" type="noConversion"/>
  </si>
  <si>
    <t>园部</t>
    <phoneticPr fontId="1" type="noConversion"/>
  </si>
  <si>
    <t>教育教辅后勤应配用工人数(正常额度+临时额度）</t>
  </si>
  <si>
    <t>财政资金应配备人数</t>
  </si>
  <si>
    <t>专技岗位
应配人数</t>
  </si>
  <si>
    <t>管理岗位
应配人数</t>
  </si>
  <si>
    <t>技术岗位
应配人数</t>
  </si>
  <si>
    <t>勤杂岗位
应配人数</t>
  </si>
  <si>
    <t>工资
（1-12月）</t>
  </si>
  <si>
    <t>福利费
（1月-12月）</t>
  </si>
  <si>
    <t>伙食费
（1-12月）</t>
  </si>
  <si>
    <t>工会经费
（1-12月）</t>
  </si>
  <si>
    <t>考核
（1-12月）</t>
  </si>
  <si>
    <t>奖金</t>
    <phoneticPr fontId="1" type="noConversion"/>
  </si>
  <si>
    <t>掌勺津贴</t>
    <phoneticPr fontId="1" type="noConversion"/>
  </si>
  <si>
    <t>管理费
（2023年全年）</t>
    <phoneticPr fontId="1" type="noConversion"/>
  </si>
  <si>
    <t>社保公积金
（35.256%）</t>
    <phoneticPr fontId="1" type="noConversion"/>
  </si>
  <si>
    <t>课后服务预估
（2024年预估）</t>
    <phoneticPr fontId="1" type="noConversion"/>
  </si>
  <si>
    <t>合计</t>
    <phoneticPr fontId="1" type="noConversion"/>
  </si>
  <si>
    <t>非义务</t>
    <phoneticPr fontId="1" type="noConversion"/>
  </si>
  <si>
    <t>义务</t>
    <phoneticPr fontId="1" type="noConversion"/>
  </si>
  <si>
    <t>闵行区春欣幼儿园</t>
  </si>
  <si>
    <t>闵行区七宝实验幼儿园</t>
  </si>
  <si>
    <t>闵行区星辰幼儿园</t>
  </si>
  <si>
    <t>闵行区航华二幼</t>
  </si>
  <si>
    <t>闵行区七宝明强第二小学</t>
  </si>
  <si>
    <t>闵行区航华二小</t>
  </si>
  <si>
    <t>闵行区七宝第三中学</t>
  </si>
  <si>
    <t>闵行区七宝第二中学</t>
  </si>
  <si>
    <t>七宝皇都幼儿园</t>
  </si>
  <si>
    <t>七宝幼儿园</t>
  </si>
  <si>
    <t>七宝明强幼儿园</t>
  </si>
  <si>
    <t>七宝文来学校</t>
  </si>
  <si>
    <t>七宝启英宝盛幼儿园</t>
    <phoneticPr fontId="1" type="noConversion"/>
  </si>
  <si>
    <t>七宝合计</t>
  </si>
  <si>
    <t>80%下达</t>
    <phoneticPr fontId="1" type="noConversion"/>
  </si>
  <si>
    <t>2024年镇管单位补充公用经费预算表</t>
    <phoneticPr fontId="1" type="noConversion"/>
  </si>
  <si>
    <t>2024年公办义务教育减免书薄费预算表</t>
    <phoneticPr fontId="2" type="noConversion"/>
  </si>
  <si>
    <t>性质</t>
  </si>
  <si>
    <t>学校名称</t>
  </si>
  <si>
    <t>小学金额
（175元/学期*2）</t>
    <phoneticPr fontId="2" type="noConversion"/>
  </si>
  <si>
    <t>初中金额
（215元/学期*2）</t>
    <phoneticPr fontId="2" type="noConversion"/>
  </si>
  <si>
    <t>镇管</t>
  </si>
  <si>
    <r>
      <rPr>
        <sz val="10"/>
        <rFont val="宋体"/>
        <family val="3"/>
        <charset val="134"/>
      </rPr>
      <t>闵行区航华第二小学</t>
    </r>
  </si>
  <si>
    <r>
      <rPr>
        <sz val="10"/>
        <rFont val="宋体"/>
        <family val="3"/>
        <charset val="134"/>
      </rPr>
      <t>闵行区七宝镇明强小学</t>
    </r>
  </si>
  <si>
    <r>
      <rPr>
        <sz val="10"/>
        <rFont val="宋体"/>
        <family val="3"/>
        <charset val="134"/>
      </rPr>
      <t>上海市七宝实验小学</t>
    </r>
  </si>
  <si>
    <r>
      <rPr>
        <sz val="10"/>
        <rFont val="宋体"/>
        <family val="3"/>
        <charset val="134"/>
      </rPr>
      <t>闵行区黎明小学</t>
    </r>
  </si>
  <si>
    <r>
      <rPr>
        <sz val="10"/>
        <rFont val="宋体"/>
        <family val="3"/>
        <charset val="134"/>
      </rPr>
      <t>上海市闵行区七宝明强第二小学</t>
    </r>
  </si>
  <si>
    <r>
      <rPr>
        <sz val="10"/>
        <rFont val="宋体"/>
        <family val="3"/>
        <charset val="134"/>
      </rPr>
      <t>上海市航华中学</t>
    </r>
  </si>
  <si>
    <r>
      <rPr>
        <sz val="10"/>
        <rFont val="宋体"/>
        <family val="3"/>
        <charset val="134"/>
      </rPr>
      <t>上海市闵行区七宝第二中学</t>
    </r>
  </si>
  <si>
    <r>
      <rPr>
        <sz val="10"/>
        <rFont val="宋体"/>
        <family val="3"/>
        <charset val="134"/>
      </rPr>
      <t>上海市七宝实验中学</t>
    </r>
  </si>
  <si>
    <t>九年一贯制</t>
    <phoneticPr fontId="1" type="noConversion"/>
  </si>
  <si>
    <t>七宝文来</t>
    <phoneticPr fontId="1" type="noConversion"/>
  </si>
  <si>
    <r>
      <rPr>
        <sz val="10"/>
        <rFont val="宋体"/>
        <family val="3"/>
        <charset val="134"/>
      </rPr>
      <t>上海市闵行区七宝第三中学</t>
    </r>
  </si>
  <si>
    <t>2024义务教育学生营养午餐补助预算表</t>
    <phoneticPr fontId="1" type="noConversion"/>
  </si>
  <si>
    <t xml:space="preserve"> 单位名称</t>
  </si>
  <si>
    <t>单位类别</t>
  </si>
  <si>
    <t>下半年金额</t>
  </si>
  <si>
    <t>航华二小</t>
  </si>
  <si>
    <t>黎明小学</t>
  </si>
  <si>
    <t>明强二小</t>
  </si>
  <si>
    <t>明强小学</t>
  </si>
  <si>
    <t>七宝实验小学</t>
  </si>
  <si>
    <t>七宝二中</t>
  </si>
  <si>
    <t>航华中学</t>
  </si>
  <si>
    <t>七宝三中</t>
  </si>
  <si>
    <t>七宝实验中学</t>
  </si>
  <si>
    <t>七宝文来（初中)</t>
    <phoneticPr fontId="1" type="noConversion"/>
  </si>
  <si>
    <t>七宝文来（小学)</t>
    <phoneticPr fontId="1" type="noConversion"/>
  </si>
  <si>
    <t>2023年第一学期各资助类型金额</t>
    <phoneticPr fontId="1" type="noConversion"/>
  </si>
  <si>
    <t>全年</t>
    <phoneticPr fontId="1" type="noConversion"/>
  </si>
  <si>
    <t>建档立卡贫困家庭学生</t>
    <phoneticPr fontId="1" type="noConversion"/>
  </si>
  <si>
    <t>低保家庭学生</t>
    <phoneticPr fontId="1" type="noConversion"/>
  </si>
  <si>
    <t>烈士家庭学生数</t>
  </si>
  <si>
    <t>适龄孤儿</t>
    <phoneticPr fontId="1" type="noConversion"/>
  </si>
  <si>
    <t>残疾学生</t>
    <phoneticPr fontId="1" type="noConversion"/>
  </si>
  <si>
    <t>低收入家庭学生</t>
  </si>
  <si>
    <t>困境儿童</t>
  </si>
  <si>
    <t>金额</t>
  </si>
  <si>
    <t>2024年学前教育资助预算表</t>
    <phoneticPr fontId="1" type="noConversion"/>
  </si>
  <si>
    <t>学段</t>
  </si>
  <si>
    <t>2023年第一学期资助金额</t>
    <phoneticPr fontId="1" type="noConversion"/>
  </si>
  <si>
    <t>全年</t>
  </si>
  <si>
    <t>餐费</t>
  </si>
  <si>
    <t>点心费</t>
  </si>
  <si>
    <t>生活用品</t>
  </si>
  <si>
    <t>体检费</t>
  </si>
  <si>
    <t>校车费</t>
  </si>
  <si>
    <t>延时服务费</t>
  </si>
  <si>
    <t>课程配套标准材料费</t>
  </si>
  <si>
    <t>课外教育活动费</t>
  </si>
  <si>
    <t>城镇居民基本医疗保险费</t>
  </si>
  <si>
    <t>七宝镇</t>
  </si>
  <si>
    <t>上海市闵行区七宝皇都幼儿园</t>
    <phoneticPr fontId="2" type="noConversion"/>
  </si>
  <si>
    <t>上海市闵行区七宝幼儿园</t>
    <phoneticPr fontId="2" type="noConversion"/>
  </si>
  <si>
    <t>上海市闵行区七宝明强幼儿园</t>
    <phoneticPr fontId="1" type="noConversion"/>
  </si>
  <si>
    <t>七宝小计</t>
    <phoneticPr fontId="1" type="noConversion"/>
  </si>
  <si>
    <t>教育教辅后勤应配用工人数(2023人保提供）</t>
    <phoneticPr fontId="1" type="noConversion"/>
  </si>
  <si>
    <t>因故额外增加临时额度（2023人保提供）</t>
    <phoneticPr fontId="1" type="noConversion"/>
  </si>
  <si>
    <t>2024年金额（年初预算：按中位数测算，学校实际执行按人事部门规定标准执行，严禁超标准发放）</t>
    <phoneticPr fontId="1" type="noConversion"/>
  </si>
  <si>
    <t>现有辅助用工人数（2023年人保科提供）</t>
    <phoneticPr fontId="1" type="noConversion"/>
  </si>
  <si>
    <t>单 位</t>
  </si>
  <si>
    <t>属性2</t>
  </si>
  <si>
    <t>清算金额</t>
    <phoneticPr fontId="1" type="noConversion"/>
  </si>
  <si>
    <t>合计（常规）</t>
    <phoneticPr fontId="1" type="noConversion"/>
  </si>
  <si>
    <t>其中：校长绩效工资项目</t>
    <phoneticPr fontId="1" type="noConversion"/>
  </si>
  <si>
    <t>课后延时</t>
  </si>
  <si>
    <t>总绩效</t>
  </si>
  <si>
    <t>义务</t>
  </si>
  <si>
    <t>非义务</t>
  </si>
  <si>
    <t>社校</t>
  </si>
  <si>
    <t>上海市闵行区七宝文来学校</t>
  </si>
  <si>
    <t>上海市闵行区七宝明强幼儿园</t>
  </si>
  <si>
    <r>
      <t>2023年</t>
    </r>
    <r>
      <rPr>
        <sz val="16"/>
        <rFont val="宋体"/>
        <family val="3"/>
        <charset val="134"/>
        <scheme val="minor"/>
      </rPr>
      <t>在编人员绩效（含课后延时）清算</t>
    </r>
    <phoneticPr fontId="1" type="noConversion"/>
  </si>
  <si>
    <t>2023年核定金额</t>
    <phoneticPr fontId="1" type="noConversion"/>
  </si>
  <si>
    <t>2023年分配金额</t>
    <phoneticPr fontId="1" type="noConversion"/>
  </si>
  <si>
    <t>镇属</t>
    <phoneticPr fontId="49" type="noConversion"/>
  </si>
  <si>
    <t>七宝</t>
    <phoneticPr fontId="49" type="noConversion"/>
  </si>
  <si>
    <t>人数</t>
    <phoneticPr fontId="1" type="noConversion"/>
  </si>
  <si>
    <t>金额（3元/人）</t>
    <phoneticPr fontId="1" type="noConversion"/>
  </si>
  <si>
    <t>2024年残疾人就业保障专项预算</t>
    <phoneticPr fontId="1" type="noConversion"/>
  </si>
  <si>
    <t>2024年社区教育</t>
    <phoneticPr fontId="1" type="noConversion"/>
  </si>
  <si>
    <t>2024年义务教育资助调整预算表</t>
    <phoneticPr fontId="1" type="noConversion"/>
  </si>
  <si>
    <t>2024年基本支出预算表（七宝）</t>
    <phoneticPr fontId="2" type="noConversion"/>
  </si>
  <si>
    <t>2023年镇管学校修缮专项尾款清算统计表</t>
  </si>
  <si>
    <t>2022年航华第二幼儿园（总园）校舍维修工程</t>
  </si>
  <si>
    <t>闵行区航华第二幼儿园（分园）</t>
  </si>
  <si>
    <t>2022年航华第二幼儿园（分园）维修工程</t>
  </si>
  <si>
    <t>2022年航华中学场地维修工程</t>
  </si>
  <si>
    <t>2022年黎明小学校舍维修工程</t>
  </si>
  <si>
    <t>2022年明强第二小学场地维修工程</t>
  </si>
  <si>
    <t>2022年七宝实验小学场地维修工程</t>
  </si>
  <si>
    <t>2023年七宝第三中学校舍维修工程</t>
  </si>
  <si>
    <t>2023年航华第二小学校舍维修工程</t>
  </si>
  <si>
    <t>2023年七宝实验小学场地维修工程</t>
  </si>
  <si>
    <t>2023年七宝明强第二小学场地维修工程</t>
  </si>
  <si>
    <t>七宝外国语小学</t>
  </si>
  <si>
    <t>2023年七宝外国语小学校舍维修工程</t>
  </si>
  <si>
    <t>2023年七宝中心幼儿园（广海园）校舍维修工程</t>
  </si>
  <si>
    <t>2023年七宝皇都幼儿园校舍维修工程</t>
  </si>
  <si>
    <t>2024年抚恤金年初预算（1-3月已发生数）</t>
    <phoneticPr fontId="1" type="noConversion"/>
  </si>
  <si>
    <t>上海市闵行区七宝第二中学</t>
    <phoneticPr fontId="49" type="noConversion"/>
  </si>
  <si>
    <t>闵行区七宝中心幼儿园</t>
    <phoneticPr fontId="1" type="noConversion"/>
  </si>
  <si>
    <t>七宝</t>
    <phoneticPr fontId="1" type="noConversion"/>
  </si>
  <si>
    <t>学校全称</t>
  </si>
  <si>
    <t>地址</t>
  </si>
  <si>
    <t>维修类型</t>
  </si>
  <si>
    <t>建筑物名称</t>
  </si>
  <si>
    <t>校舍修缮内容</t>
  </si>
  <si>
    <t>工程量</t>
  </si>
  <si>
    <t>单价</t>
  </si>
  <si>
    <t>合价</t>
  </si>
  <si>
    <t>㎡</t>
  </si>
  <si>
    <t>m</t>
  </si>
  <si>
    <t>（一）建安费合计</t>
  </si>
  <si>
    <t>总投资（一）+（二）</t>
  </si>
  <si>
    <t>套</t>
  </si>
  <si>
    <t>校舍修缮</t>
  </si>
  <si>
    <t>空气检测费</t>
  </si>
  <si>
    <t>点</t>
  </si>
  <si>
    <t xml:space="preserve"> 2024年七宝镇校舍维修审核明细表</t>
  </si>
  <si>
    <t>闵行区航南路350号</t>
  </si>
  <si>
    <t>教学楼、实验楼、体育馆卫生间（22间）</t>
  </si>
  <si>
    <t>卫生间防滑地砖拆除及新做</t>
  </si>
  <si>
    <t>卫生间内墙墙砖局部拆除及新做</t>
  </si>
  <si>
    <t>铝合金扣板吊顶拆除及新做</t>
  </si>
  <si>
    <t>给排水拆除及新做</t>
  </si>
  <si>
    <t>洁具：小便斗感应式（含拆除及安装）30套、蹲便器（感应式）75套、洗脸盆33套、拖把池18套</t>
  </si>
  <si>
    <t>项</t>
  </si>
  <si>
    <t>成套洗手柜（含台盆、镜子、灯）</t>
  </si>
  <si>
    <t>电气拆除及新做</t>
  </si>
  <si>
    <t>灯具：LED条形面板灯105米、换气扇42套</t>
  </si>
  <si>
    <t>不锈钢扶手（无障碍）</t>
  </si>
  <si>
    <t>厕所隔断</t>
  </si>
  <si>
    <t>m²</t>
  </si>
  <si>
    <t>套装门板（铝合金门套）</t>
  </si>
  <si>
    <t>樘</t>
  </si>
  <si>
    <t>钢构石材洗手台（含镜子拆除及安装）</t>
  </si>
  <si>
    <t>（二）工程建设其他费合计</t>
  </si>
  <si>
    <t>龙茗路2760号</t>
  </si>
  <si>
    <t>半圆活动场地</t>
  </si>
  <si>
    <t>原成品绿篱块毯地面铲除（含基础损坏处修补）</t>
  </si>
  <si>
    <t>面层新做15厚EPDM透气型塑胶（含划线）</t>
  </si>
  <si>
    <t>体育馆墙面、地板、吸音板、踢脚线、电器、窗户</t>
  </si>
  <si>
    <t>内墙新做腻子及涂料（含铲除修补）</t>
  </si>
  <si>
    <t>屋面钢结构打磨及新做油漆</t>
  </si>
  <si>
    <t>新做钢管满堂脚手架</t>
  </si>
  <si>
    <t>屋面及天沟新做防水卷材</t>
  </si>
  <si>
    <t>场地检测费</t>
  </si>
  <si>
    <t xml:space="preserve">上海市闵行区七宝幼儿园
</t>
  </si>
  <si>
    <t>中谊路361号</t>
  </si>
  <si>
    <t>场地维修</t>
  </si>
  <si>
    <t>活动场地</t>
  </si>
  <si>
    <t>原有活动场地面层拆除（含基层清理、找平，破损开裂处铲除并混凝土修复）</t>
  </si>
  <si>
    <t>面层新做15厚EPDM塑胶(含划线）</t>
  </si>
  <si>
    <t>闵行区航北路328号</t>
  </si>
  <si>
    <t>教学楼、办公楼、体育馆屋顶</t>
  </si>
  <si>
    <t>拆除原有屋面卷材及保护层</t>
  </si>
  <si>
    <t>新做最薄30厚LC5.0轻集料混凝土2%找坡找平层（原排水方向），20厚DS20水泥砂浆找平层，2厚高聚物改性沥青防水涂料，3厚APP改性沥青防水卷材（内天沟处、凸出屋面部分需加铺一道3厚防水卷材），女儿墙上翻至压顶，原有压条更换，反光涂料保护层。</t>
  </si>
  <si>
    <t>图书馆室外楼梯</t>
  </si>
  <si>
    <t>加装室外楼梯</t>
  </si>
  <si>
    <t>体育馆大门</t>
  </si>
  <si>
    <t>体育馆铝合金大门</t>
  </si>
  <si>
    <t xml:space="preserve">卫生间（18间）
</t>
  </si>
  <si>
    <t>洁具（小便斗感应式、蹲便器、洗脸盆等）、灯具、洗手台、洗手柜、门隔断</t>
  </si>
  <si>
    <t>校内沥青道路</t>
  </si>
  <si>
    <t>铲除沥青道路面层</t>
  </si>
  <si>
    <t>面层沥青铺设50厚细粒沥青混凝土面层AC-10</t>
  </si>
  <si>
    <t>局部路基修复</t>
  </si>
  <si>
    <t>建筑屋顶</t>
  </si>
  <si>
    <t>铲除原有吊顶涂料及腻子（水泥砂浆基础损坏处铲除并修补），面层耐水腻子二遍刮平，无机涂料一底二度</t>
  </si>
  <si>
    <t>项/㎡</t>
  </si>
  <si>
    <t>管路基座修补、管路包保温材料</t>
  </si>
  <si>
    <t>项/m</t>
  </si>
  <si>
    <t>审图费</t>
  </si>
  <si>
    <t>房屋检测费</t>
  </si>
  <si>
    <t>上海市闵行区星辰幼儿园（金太阳分园）</t>
  </si>
  <si>
    <t>漕宝路1467弄1区51号</t>
  </si>
  <si>
    <t xml:space="preserve">幼儿卫生间（9间）
</t>
  </si>
  <si>
    <t>洁具（小便斗感应式、蹲便器、洗脸盆等）、灯具、洗手台、洗手柜</t>
  </si>
  <si>
    <t>洁具：小便斗感应式（含拆除及安装）27套、坐便器36套</t>
  </si>
  <si>
    <t>教学楼屋顶</t>
  </si>
  <si>
    <t>新做最薄30厚LC5.0轻集料混凝土2%找坡找平层（原排水方向），20厚DS20水泥砂浆找平层，3厚APP改性沥青防水卷材2厚高聚物改性沥青防水涂料（内天沟处需加铺一道3厚防水卷材），女儿墙上翻400，原有压条更换，反光涂料保护层。</t>
  </si>
  <si>
    <t>屋面排水疏通、雨水管更换</t>
  </si>
  <si>
    <t>上海市闵行区黎明小学</t>
  </si>
  <si>
    <t>联明路180号</t>
  </si>
  <si>
    <t>教学楼室内及廊道</t>
  </si>
  <si>
    <t>铲除原有内墙涂料及内墙腻子（水泥砂浆基础损坏处铲除并修补）</t>
  </si>
  <si>
    <t>顶面基层修补批嵌、乳胶漆一底二面</t>
  </si>
  <si>
    <t>墙面基层修补批嵌、乳胶漆一底二面</t>
  </si>
  <si>
    <t>室外走廊顶面基层修补批嵌、乳胶漆一底二面</t>
  </si>
  <si>
    <t>室外墙面基层修补批嵌、乳胶漆一底二面</t>
  </si>
  <si>
    <t>教学楼墙裙</t>
  </si>
  <si>
    <t>铲除原墙裙墙砖至基础墙体</t>
  </si>
  <si>
    <t>墙裙20厚WP20防水砂浆找平，内墙装饰瓷砖饰面（专用粘结剂粘贴），阳角采用不锈钢或铝合金收边条</t>
  </si>
  <si>
    <t>教室内部及廊道地面</t>
  </si>
  <si>
    <t>教室内、走廊、廊道的PVC地板及下层地砖铲除至基层</t>
  </si>
  <si>
    <t>排水槽</t>
  </si>
  <si>
    <t>地面地砖</t>
  </si>
  <si>
    <t>教学楼楼梯及扶手</t>
  </si>
  <si>
    <t>原来楼梯踏步、平台PVC地板及下层玻化砖铲除至楼梯基层</t>
  </si>
  <si>
    <t>石材铺设</t>
  </si>
  <si>
    <t>楼梯石材</t>
  </si>
  <si>
    <t>楼梯踏步板石材安装</t>
  </si>
  <si>
    <t>步</t>
  </si>
  <si>
    <t>楼梯休息平台石材铺设</t>
  </si>
  <si>
    <t>扶手栏杆</t>
  </si>
  <si>
    <t>南北大楼所有办公室、教室门更换铝合金玻璃门（门规格高2600MM宽950MM特殊规格）</t>
  </si>
  <si>
    <t>廊道墙扶手改造</t>
  </si>
  <si>
    <t>过道扶手墙外挂花坛拆除</t>
  </si>
  <si>
    <t>个</t>
  </si>
  <si>
    <t>过道扶手墙压顶大理石</t>
  </si>
  <si>
    <t>过道墙扶手小瓷砖涂料</t>
  </si>
  <si>
    <t>图书馆周边</t>
  </si>
  <si>
    <t>图书楼门口地砖拆除</t>
  </si>
  <si>
    <t>图书楼东面海报区域地面原来石材拆除</t>
  </si>
  <si>
    <t>图书楼石材铺设</t>
  </si>
  <si>
    <t>图书楼台阶踏步板石材安装</t>
  </si>
  <si>
    <t>图书楼东面石材铺设</t>
  </si>
  <si>
    <t>拆除东北面倾斜度6.2%的围墙</t>
  </si>
  <si>
    <t>柔性耐水性腻子内嵌网格布，高级弹性防水外墙涂料一底二度。</t>
  </si>
  <si>
    <t>重新安装原来围墙上面的安全网</t>
  </si>
  <si>
    <t>围墙挖基础及夯实</t>
  </si>
  <si>
    <t>现浇混凝土基础</t>
  </si>
  <si>
    <t>新建围墙</t>
  </si>
  <si>
    <t>围墙上面电缆改地埋</t>
  </si>
  <si>
    <t>路牙、地面</t>
  </si>
  <si>
    <t>北楼教室前运动场地原来草坪铲除</t>
  </si>
  <si>
    <t>原来破损水泥路牙拆除</t>
  </si>
  <si>
    <t>原校园路面水泥地铲除至原沥青面层</t>
  </si>
  <si>
    <t>安装花岗岩圆弧型路牙</t>
  </si>
  <si>
    <t>运动场台阶石材安装</t>
  </si>
  <si>
    <t>校园路面局部路基修复</t>
  </si>
  <si>
    <t>校园路面铺设沥青</t>
  </si>
  <si>
    <t>北楼教室后地面地砖</t>
  </si>
  <si>
    <t>地面青石板</t>
  </si>
  <si>
    <t>安装花岗岩路牙</t>
  </si>
  <si>
    <t>排水系统</t>
  </si>
  <si>
    <t>上下水井、检修井重新安装</t>
  </si>
  <si>
    <t>排水系统改造</t>
  </si>
  <si>
    <t>可移动绿化箱</t>
  </si>
  <si>
    <t>只</t>
  </si>
  <si>
    <t>80%预下达</t>
    <phoneticPr fontId="1" type="noConversion"/>
  </si>
  <si>
    <t>残疾就业保障</t>
    <phoneticPr fontId="1" type="noConversion"/>
  </si>
  <si>
    <t>抚恤金</t>
    <phoneticPr fontId="1" type="noConversion"/>
  </si>
  <si>
    <t>合计</t>
    <phoneticPr fontId="1" type="noConversion"/>
  </si>
  <si>
    <t>补2023年经费</t>
    <phoneticPr fontId="1" type="noConversion"/>
  </si>
  <si>
    <t>2-6月课后延时</t>
    <phoneticPr fontId="1" type="noConversion"/>
  </si>
  <si>
    <t>9-12月课后延时</t>
    <phoneticPr fontId="1" type="noConversion"/>
  </si>
  <si>
    <t>2023年镇管学校制度外用工清算核定表（补充公用经费清算不含储备老师）</t>
    <phoneticPr fontId="49" type="noConversion"/>
  </si>
  <si>
    <t>小计课后延时</t>
    <phoneticPr fontId="1" type="noConversion"/>
  </si>
  <si>
    <t>2023年已下达课后延时金额</t>
    <phoneticPr fontId="1" type="noConversion"/>
  </si>
  <si>
    <t>清算课后延时金额</t>
    <phoneticPr fontId="1" type="noConversion"/>
  </si>
  <si>
    <t>镇属</t>
    <phoneticPr fontId="49" type="noConversion"/>
  </si>
  <si>
    <t>总投资（元）
（财政批复）</t>
    <phoneticPr fontId="49" type="noConversion"/>
  </si>
  <si>
    <t>建安费（元）
（财政批复）</t>
    <phoneticPr fontId="49" type="noConversion"/>
  </si>
  <si>
    <t>施工合同价
（元）</t>
    <phoneticPr fontId="49" type="noConversion"/>
  </si>
  <si>
    <t>工程审定价
（元）</t>
    <phoneticPr fontId="49" type="noConversion"/>
  </si>
  <si>
    <t>二类费用
（元）</t>
    <phoneticPr fontId="49" type="noConversion"/>
  </si>
  <si>
    <t>应执行金额费用
（元）</t>
    <phoneticPr fontId="49" type="noConversion"/>
  </si>
  <si>
    <t>已执行金额费用
（元）</t>
    <phoneticPr fontId="49" type="noConversion"/>
  </si>
  <si>
    <t>尾款清算金额费用
（元）</t>
    <phoneticPr fontId="49" type="noConversion"/>
  </si>
  <si>
    <t>七宝</t>
    <phoneticPr fontId="49" type="noConversion"/>
  </si>
  <si>
    <t>闵行区航华第二幼儿园（总园）</t>
    <phoneticPr fontId="49" type="noConversion"/>
  </si>
  <si>
    <t>闵行区黎明小学</t>
    <phoneticPr fontId="49" type="noConversion"/>
  </si>
  <si>
    <t>上海市闵行区七宝第三中学</t>
    <phoneticPr fontId="49" type="noConversion"/>
  </si>
  <si>
    <t>闵行区航华第二小学</t>
    <phoneticPr fontId="49" type="noConversion"/>
  </si>
  <si>
    <t>上海市七宝实验小学（大上海校区）</t>
    <phoneticPr fontId="49" type="noConversion"/>
  </si>
  <si>
    <t>上海市闵行区七宝明强第二小学</t>
    <phoneticPr fontId="49" type="noConversion"/>
  </si>
  <si>
    <t>闵行区七宝中心幼儿园（广海园）</t>
    <phoneticPr fontId="49" type="noConversion"/>
  </si>
  <si>
    <t>上海市闵行区七宝皇都幼儿园</t>
    <phoneticPr fontId="49" type="noConversion"/>
  </si>
  <si>
    <t>2024年教育统筹经费第一次分配明细表</t>
    <phoneticPr fontId="1" type="noConversion"/>
  </si>
  <si>
    <t>七宝镇：</t>
    <phoneticPr fontId="2" type="noConversion"/>
  </si>
  <si>
    <t>单位：元</t>
    <phoneticPr fontId="1" type="noConversion"/>
  </si>
  <si>
    <t>序号</t>
    <phoneticPr fontId="2" type="noConversion"/>
  </si>
  <si>
    <t>项目</t>
    <phoneticPr fontId="2" type="noConversion"/>
  </si>
  <si>
    <t>工资福利支出</t>
    <phoneticPr fontId="1" type="noConversion"/>
  </si>
  <si>
    <t>商品服务支出</t>
    <phoneticPr fontId="1" type="noConversion"/>
  </si>
  <si>
    <t>对个人和家庭的补助支出</t>
    <phoneticPr fontId="1" type="noConversion"/>
  </si>
  <si>
    <t>社区教育经费</t>
  </si>
  <si>
    <t>社区教育志愿者联盟</t>
  </si>
  <si>
    <t>补充公用经费</t>
    <phoneticPr fontId="1" type="noConversion"/>
  </si>
  <si>
    <t>义务教育减免书簿费</t>
    <phoneticPr fontId="1" type="noConversion"/>
  </si>
  <si>
    <t>义务教育营养午餐</t>
    <phoneticPr fontId="1" type="noConversion"/>
  </si>
  <si>
    <t>义务教育学生资助</t>
    <phoneticPr fontId="1" type="noConversion"/>
  </si>
  <si>
    <t>公办学前教育资助</t>
    <phoneticPr fontId="1" type="noConversion"/>
  </si>
  <si>
    <t>合计</t>
    <phoneticPr fontId="2" type="noConversion"/>
  </si>
  <si>
    <t>校舍维修</t>
    <phoneticPr fontId="1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</si>
</sst>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 ;\-0.00;;"/>
    <numFmt numFmtId="178" formatCode="0.00_);[Red]\(0.00\)"/>
    <numFmt numFmtId="179" formatCode="[$-F800]dddd\,\ mmmm\ dd\,\ yyyy"/>
    <numFmt numFmtId="180" formatCode="0_ "/>
    <numFmt numFmtId="181" formatCode="0_);[Red]\(0\)"/>
  </numFmts>
  <fonts count="7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14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color indexed="14"/>
      <name val="宋体"/>
      <family val="3"/>
      <charset val="134"/>
    </font>
    <font>
      <u/>
      <sz val="14.4"/>
      <color indexed="12"/>
      <name val="宋体"/>
      <family val="3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color rgb="FF006100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20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4"/>
      <name val="宋体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楷体_GB2312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16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9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12">
    <xf numFmtId="0" fontId="0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2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12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2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>
      <alignment vertical="center"/>
    </xf>
    <xf numFmtId="0" fontId="12" fillId="7" borderId="0">
      <alignment vertical="center"/>
    </xf>
    <xf numFmtId="0" fontId="12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12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12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5" fillId="10" borderId="0">
      <alignment vertical="center"/>
    </xf>
    <xf numFmtId="0" fontId="5" fillId="10" borderId="0">
      <alignment vertical="center"/>
    </xf>
    <xf numFmtId="0" fontId="12" fillId="10" borderId="0">
      <alignment vertical="center"/>
    </xf>
    <xf numFmtId="0" fontId="5" fillId="10" borderId="0">
      <alignment vertical="center"/>
    </xf>
    <xf numFmtId="0" fontId="5" fillId="1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>
      <alignment vertical="center"/>
    </xf>
    <xf numFmtId="0" fontId="12" fillId="11" borderId="0">
      <alignment vertical="center"/>
    </xf>
    <xf numFmtId="0" fontId="12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12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12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10" fillId="0" borderId="0"/>
    <xf numFmtId="0" fontId="10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/>
    <xf numFmtId="43" fontId="3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/>
    <xf numFmtId="43" fontId="3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>
      <alignment vertical="center"/>
    </xf>
    <xf numFmtId="0" fontId="12" fillId="26" borderId="10">
      <alignment vertical="center"/>
    </xf>
    <xf numFmtId="0" fontId="12" fillId="26" borderId="10">
      <alignment vertical="center"/>
    </xf>
    <xf numFmtId="0" fontId="5" fillId="26" borderId="10">
      <alignment vertical="center"/>
    </xf>
    <xf numFmtId="0" fontId="5" fillId="26" borderId="10">
      <alignment vertical="center"/>
    </xf>
    <xf numFmtId="0" fontId="12" fillId="26" borderId="10">
      <alignment vertical="center"/>
    </xf>
    <xf numFmtId="0" fontId="5" fillId="26" borderId="10">
      <alignment vertical="center"/>
    </xf>
    <xf numFmtId="0" fontId="5" fillId="26" borderId="1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176" fontId="3" fillId="0" borderId="0">
      <alignment vertical="center"/>
    </xf>
    <xf numFmtId="0" fontId="5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50" fillId="0" borderId="0">
      <alignment vertical="center"/>
    </xf>
    <xf numFmtId="0" fontId="4" fillId="0" borderId="0"/>
    <xf numFmtId="41" fontId="5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78" fontId="7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34">
    <xf numFmtId="0" fontId="0" fillId="0" borderId="0" xfId="0">
      <alignment vertical="center"/>
    </xf>
    <xf numFmtId="0" fontId="40" fillId="2" borderId="13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protection locked="0"/>
    </xf>
    <xf numFmtId="49" fontId="2" fillId="2" borderId="13" xfId="0" applyNumberFormat="1" applyFont="1" applyFill="1" applyBorder="1" applyAlignment="1" applyProtection="1">
      <alignment wrapText="1"/>
      <protection locked="0"/>
    </xf>
    <xf numFmtId="177" fontId="2" fillId="2" borderId="13" xfId="0" applyNumberFormat="1" applyFont="1" applyFill="1" applyBorder="1" applyAlignment="1" applyProtection="1">
      <protection locked="0"/>
    </xf>
    <xf numFmtId="177" fontId="41" fillId="2" borderId="13" xfId="0" applyNumberFormat="1" applyFont="1" applyFill="1" applyBorder="1" applyAlignment="1" applyProtection="1"/>
    <xf numFmtId="0" fontId="2" fillId="2" borderId="0" xfId="0" applyFont="1" applyFill="1" applyAlignment="1" applyProtection="1">
      <protection locked="0"/>
    </xf>
    <xf numFmtId="49" fontId="40" fillId="2" borderId="13" xfId="0" applyNumberFormat="1" applyFont="1" applyFill="1" applyBorder="1" applyAlignment="1" applyProtection="1">
      <protection locked="0"/>
    </xf>
    <xf numFmtId="177" fontId="41" fillId="2" borderId="13" xfId="0" applyNumberFormat="1" applyFont="1" applyFill="1" applyBorder="1" applyAlignment="1" applyProtection="1">
      <protection locked="0"/>
    </xf>
    <xf numFmtId="49" fontId="41" fillId="2" borderId="13" xfId="0" applyNumberFormat="1" applyFont="1" applyFill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77" fontId="2" fillId="2" borderId="14" xfId="0" applyNumberFormat="1" applyFont="1" applyFill="1" applyBorder="1" applyAlignment="1" applyProtection="1">
      <protection locked="0"/>
    </xf>
    <xf numFmtId="49" fontId="41" fillId="2" borderId="13" xfId="0" applyNumberFormat="1" applyFont="1" applyFill="1" applyBorder="1" applyAlignment="1" applyProtection="1">
      <protection locked="0"/>
    </xf>
    <xf numFmtId="0" fontId="41" fillId="2" borderId="0" xfId="0" applyFont="1" applyFill="1" applyAlignment="1" applyProtection="1">
      <protection locked="0"/>
    </xf>
    <xf numFmtId="49" fontId="40" fillId="2" borderId="13" xfId="0" applyNumberFormat="1" applyFont="1" applyFill="1" applyBorder="1" applyAlignment="1" applyProtection="1">
      <alignment wrapText="1"/>
      <protection locked="0"/>
    </xf>
    <xf numFmtId="0" fontId="39" fillId="2" borderId="13" xfId="0" applyNumberFormat="1" applyFont="1" applyFill="1" applyBorder="1" applyAlignment="1" applyProtection="1">
      <alignment horizontal="center" vertical="center"/>
      <protection locked="0"/>
    </xf>
    <xf numFmtId="0" fontId="3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3" xfId="0" applyNumberFormat="1" applyFont="1" applyFill="1" applyBorder="1" applyAlignment="1" applyProtection="1">
      <alignment horizontal="left" wrapText="1"/>
      <protection locked="0"/>
    </xf>
    <xf numFmtId="177" fontId="2" fillId="2" borderId="13" xfId="0" applyNumberFormat="1" applyFont="1" applyFill="1" applyBorder="1" applyAlignment="1" applyProtection="1"/>
    <xf numFmtId="0" fontId="41" fillId="2" borderId="13" xfId="0" applyFont="1" applyFill="1" applyBorder="1" applyAlignment="1" applyProtection="1">
      <alignment wrapText="1"/>
      <protection locked="0"/>
    </xf>
    <xf numFmtId="178" fontId="2" fillId="2" borderId="13" xfId="0" applyNumberFormat="1" applyFont="1" applyFill="1" applyBorder="1" applyAlignment="1" applyProtection="1">
      <protection locked="0"/>
    </xf>
    <xf numFmtId="49" fontId="40" fillId="2" borderId="14" xfId="0" applyNumberFormat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2" fillId="2" borderId="14" xfId="0" applyNumberFormat="1" applyFont="1" applyFill="1" applyBorder="1" applyAlignment="1" applyProtection="1">
      <alignment wrapText="1"/>
      <protection locked="0"/>
    </xf>
    <xf numFmtId="49" fontId="40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77" fontId="2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40" fillId="2" borderId="1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45" fillId="0" borderId="0" xfId="0" applyFo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0" xfId="0" applyNumberFormat="1" applyFont="1" applyFill="1">
      <alignment vertical="center"/>
    </xf>
    <xf numFmtId="0" fontId="2" fillId="29" borderId="13" xfId="0" applyNumberFormat="1" applyFont="1" applyFill="1" applyBorder="1" applyAlignment="1">
      <alignment horizontal="center" vertical="center" wrapText="1"/>
    </xf>
    <xf numFmtId="0" fontId="49" fillId="29" borderId="13" xfId="0" applyNumberFormat="1" applyFont="1" applyFill="1" applyBorder="1" applyAlignment="1">
      <alignment horizontal="center" vertical="center"/>
    </xf>
    <xf numFmtId="0" fontId="49" fillId="2" borderId="13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49" fillId="2" borderId="13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>
      <alignment horizontal="center" vertical="center"/>
    </xf>
    <xf numFmtId="176" fontId="49" fillId="29" borderId="13" xfId="0" applyNumberFormat="1" applyFont="1" applyFill="1" applyBorder="1" applyAlignment="1">
      <alignment horizontal="center" vertical="center"/>
    </xf>
    <xf numFmtId="0" fontId="46" fillId="29" borderId="0" xfId="0" applyNumberFormat="1" applyFont="1" applyFill="1">
      <alignment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0" fontId="49" fillId="2" borderId="0" xfId="0" applyNumberFormat="1" applyFont="1" applyFill="1">
      <alignment vertical="center"/>
    </xf>
    <xf numFmtId="0" fontId="46" fillId="2" borderId="0" xfId="0" applyNumberFormat="1" applyFont="1" applyFill="1" applyAlignment="1">
      <alignment horizontal="center" vertical="center"/>
    </xf>
    <xf numFmtId="0" fontId="46" fillId="2" borderId="13" xfId="0" applyNumberFormat="1" applyFont="1" applyFill="1" applyBorder="1" applyAlignment="1">
      <alignment horizontal="center" vertical="center"/>
    </xf>
    <xf numFmtId="0" fontId="46" fillId="2" borderId="16" xfId="0" applyNumberFormat="1" applyFont="1" applyFill="1" applyBorder="1">
      <alignment vertical="center"/>
    </xf>
    <xf numFmtId="0" fontId="46" fillId="2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4" fillId="30" borderId="17" xfId="0" applyNumberFormat="1" applyFont="1" applyFill="1" applyBorder="1" applyAlignment="1">
      <alignment horizontal="center" vertical="center"/>
    </xf>
    <xf numFmtId="0" fontId="4" fillId="30" borderId="16" xfId="0" applyNumberFormat="1" applyFont="1" applyFill="1" applyBorder="1" applyAlignment="1">
      <alignment horizontal="center"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/>
    <xf numFmtId="0" fontId="3" fillId="0" borderId="16" xfId="0" applyNumberFormat="1" applyFont="1" applyBorder="1" applyAlignment="1">
      <alignment horizontal="center"/>
    </xf>
    <xf numFmtId="0" fontId="3" fillId="29" borderId="16" xfId="0" applyNumberFormat="1" applyFont="1" applyFill="1" applyBorder="1" applyAlignment="1">
      <alignment horizontal="center"/>
    </xf>
    <xf numFmtId="0" fontId="53" fillId="2" borderId="0" xfId="0" applyNumberFormat="1" applyFont="1" applyFill="1">
      <alignment vertical="center"/>
    </xf>
    <xf numFmtId="0" fontId="4" fillId="29" borderId="16" xfId="1094" applyNumberFormat="1" applyFont="1" applyFill="1" applyBorder="1" applyAlignment="1">
      <alignment horizontal="center" vertical="center"/>
    </xf>
    <xf numFmtId="0" fontId="54" fillId="29" borderId="16" xfId="2001" applyNumberFormat="1" applyFont="1" applyFill="1" applyBorder="1" applyAlignment="1">
      <alignment horizontal="center" vertical="center"/>
    </xf>
    <xf numFmtId="0" fontId="2" fillId="2" borderId="16" xfId="1094" applyNumberFormat="1" applyFont="1" applyFill="1" applyBorder="1" applyAlignment="1">
      <alignment horizontal="center" vertical="center" wrapText="1"/>
    </xf>
    <xf numFmtId="0" fontId="2" fillId="2" borderId="16" xfId="1094" applyNumberFormat="1" applyFont="1" applyFill="1" applyBorder="1" applyAlignment="1">
      <alignment vertical="center" wrapText="1"/>
    </xf>
    <xf numFmtId="0" fontId="44" fillId="2" borderId="16" xfId="1149" applyFont="1" applyFill="1" applyBorder="1" applyAlignment="1">
      <alignment horizontal="center" vertical="center"/>
    </xf>
    <xf numFmtId="0" fontId="49" fillId="2" borderId="16" xfId="2001" applyNumberFormat="1" applyFont="1" applyFill="1" applyBorder="1" applyAlignment="1">
      <alignment horizontal="center" vertical="center"/>
    </xf>
    <xf numFmtId="0" fontId="2" fillId="29" borderId="16" xfId="1094" applyNumberFormat="1" applyFont="1" applyFill="1" applyBorder="1" applyAlignment="1">
      <alignment horizontal="center" vertical="center" wrapText="1"/>
    </xf>
    <xf numFmtId="0" fontId="2" fillId="29" borderId="16" xfId="1094" applyNumberFormat="1" applyFont="1" applyFill="1" applyBorder="1" applyAlignment="1">
      <alignment vertical="center"/>
    </xf>
    <xf numFmtId="0" fontId="2" fillId="29" borderId="16" xfId="1094" applyNumberFormat="1" applyFont="1" applyFill="1" applyBorder="1" applyAlignment="1">
      <alignment vertical="center" wrapText="1"/>
    </xf>
    <xf numFmtId="0" fontId="49" fillId="29" borderId="16" xfId="2001" applyNumberFormat="1" applyFont="1" applyFill="1" applyBorder="1" applyAlignment="1">
      <alignment horizontal="center" vertical="center"/>
    </xf>
    <xf numFmtId="0" fontId="49" fillId="2" borderId="16" xfId="2002" applyNumberFormat="1" applyFont="1" applyFill="1" applyBorder="1" applyAlignment="1">
      <alignment horizontal="left" vertical="center"/>
    </xf>
    <xf numFmtId="0" fontId="49" fillId="2" borderId="16" xfId="2003" applyNumberFormat="1" applyFont="1" applyFill="1" applyBorder="1" applyAlignment="1">
      <alignment horizontal="center" vertical="center"/>
    </xf>
    <xf numFmtId="179" fontId="55" fillId="0" borderId="0" xfId="0" applyNumberFormat="1" applyFont="1">
      <alignment vertical="center"/>
    </xf>
    <xf numFmtId="0" fontId="42" fillId="29" borderId="16" xfId="2005" applyNumberFormat="1" applyFont="1" applyFill="1" applyBorder="1" applyAlignment="1">
      <alignment horizontal="center" vertical="center" wrapText="1"/>
    </xf>
    <xf numFmtId="0" fontId="56" fillId="29" borderId="16" xfId="2005" applyNumberFormat="1" applyFont="1" applyFill="1" applyBorder="1" applyAlignment="1">
      <alignment horizontal="center" vertical="center" wrapText="1"/>
    </xf>
    <xf numFmtId="0" fontId="2" fillId="28" borderId="16" xfId="1094" applyNumberFormat="1" applyFont="1" applyFill="1" applyBorder="1" applyAlignment="1">
      <alignment horizontal="center" vertical="center" wrapText="1"/>
    </xf>
    <xf numFmtId="0" fontId="54" fillId="0" borderId="16" xfId="1149" applyFont="1" applyBorder="1" applyAlignment="1">
      <alignment horizontal="center" vertical="center"/>
    </xf>
    <xf numFmtId="0" fontId="44" fillId="0" borderId="16" xfId="1149" applyFont="1" applyBorder="1" applyAlignment="1">
      <alignment horizontal="center" vertical="center"/>
    </xf>
    <xf numFmtId="0" fontId="57" fillId="0" borderId="16" xfId="1335" applyFont="1" applyBorder="1" applyAlignment="1">
      <alignment horizontal="center" vertical="center"/>
    </xf>
    <xf numFmtId="176" fontId="1" fillId="0" borderId="16" xfId="0" applyNumberFormat="1" applyFont="1" applyBorder="1">
      <alignment vertical="center"/>
    </xf>
    <xf numFmtId="176" fontId="1" fillId="29" borderId="16" xfId="0" applyNumberFormat="1" applyFont="1" applyFill="1" applyBorder="1">
      <alignment vertical="center"/>
    </xf>
    <xf numFmtId="0" fontId="55" fillId="0" borderId="0" xfId="0" applyNumberFormat="1" applyFont="1" applyAlignment="1">
      <alignment horizontal="center" vertical="center"/>
    </xf>
    <xf numFmtId="0" fontId="55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59" fillId="29" borderId="16" xfId="1384" applyFont="1" applyFill="1" applyBorder="1" applyAlignment="1">
      <alignment horizontal="center" vertical="center" wrapText="1"/>
    </xf>
    <xf numFmtId="179" fontId="46" fillId="2" borderId="0" xfId="0" applyNumberFormat="1" applyFont="1" applyFill="1">
      <alignment vertical="center"/>
    </xf>
    <xf numFmtId="0" fontId="46" fillId="2" borderId="16" xfId="1123" applyNumberFormat="1" applyFont="1" applyFill="1" applyBorder="1" applyAlignment="1">
      <alignment horizontal="center" vertical="center"/>
    </xf>
    <xf numFmtId="0" fontId="44" fillId="0" borderId="16" xfId="1150" applyFont="1" applyBorder="1" applyAlignment="1">
      <alignment horizontal="center" vertical="center"/>
    </xf>
    <xf numFmtId="0" fontId="60" fillId="29" borderId="16" xfId="1123" applyNumberFormat="1" applyFont="1" applyFill="1" applyBorder="1" applyAlignment="1">
      <alignment horizontal="center" vertical="center" shrinkToFit="1"/>
    </xf>
    <xf numFmtId="0" fontId="46" fillId="29" borderId="16" xfId="1123" applyNumberFormat="1" applyFont="1" applyFill="1" applyBorder="1" applyAlignment="1">
      <alignment horizontal="center" vertical="center"/>
    </xf>
    <xf numFmtId="0" fontId="46" fillId="29" borderId="16" xfId="0" applyNumberFormat="1" applyFont="1" applyFill="1" applyBorder="1" applyAlignment="1">
      <alignment horizontal="center" vertical="center"/>
    </xf>
    <xf numFmtId="0" fontId="60" fillId="2" borderId="16" xfId="1123" applyNumberFormat="1" applyFont="1" applyFill="1" applyBorder="1" applyAlignment="1">
      <alignment horizontal="center" vertical="center" shrinkToFit="1"/>
    </xf>
    <xf numFmtId="0" fontId="44" fillId="0" borderId="12" xfId="1150" applyFont="1" applyFill="1" applyBorder="1" applyAlignment="1">
      <alignment horizontal="center" vertical="center" shrinkToFit="1"/>
    </xf>
    <xf numFmtId="179" fontId="0" fillId="0" borderId="0" xfId="0" applyNumberFormat="1">
      <alignment vertical="center"/>
    </xf>
    <xf numFmtId="179" fontId="0" fillId="2" borderId="0" xfId="0" applyNumberFormat="1" applyFill="1">
      <alignment vertical="center"/>
    </xf>
    <xf numFmtId="0" fontId="46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3" fillId="2" borderId="16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46" fillId="0" borderId="16" xfId="0" applyNumberFormat="1" applyFont="1" applyBorder="1" applyAlignment="1">
      <alignment horizontal="center" vertical="center"/>
    </xf>
    <xf numFmtId="176" fontId="46" fillId="0" borderId="16" xfId="0" applyNumberFormat="1" applyFont="1" applyBorder="1">
      <alignment vertical="center"/>
    </xf>
    <xf numFmtId="0" fontId="46" fillId="0" borderId="0" xfId="0" applyFont="1">
      <alignment vertical="center"/>
    </xf>
    <xf numFmtId="0" fontId="64" fillId="0" borderId="0" xfId="0" applyFont="1">
      <alignment vertical="center"/>
    </xf>
    <xf numFmtId="0" fontId="0" fillId="0" borderId="0" xfId="0" applyFont="1">
      <alignment vertical="center"/>
    </xf>
    <xf numFmtId="0" fontId="64" fillId="0" borderId="16" xfId="0" applyFont="1" applyBorder="1">
      <alignment vertical="center"/>
    </xf>
    <xf numFmtId="0" fontId="67" fillId="0" borderId="16" xfId="0" applyNumberFormat="1" applyFont="1" applyFill="1" applyBorder="1">
      <alignment vertical="center"/>
    </xf>
    <xf numFmtId="176" fontId="2" fillId="31" borderId="16" xfId="0" applyNumberFormat="1" applyFont="1" applyFill="1" applyBorder="1" applyAlignment="1">
      <alignment horizontal="center" vertical="center" wrapText="1"/>
    </xf>
    <xf numFmtId="176" fontId="64" fillId="2" borderId="16" xfId="0" applyNumberFormat="1" applyFont="1" applyFill="1" applyBorder="1">
      <alignment vertical="center"/>
    </xf>
    <xf numFmtId="176" fontId="67" fillId="0" borderId="16" xfId="0" applyNumberFormat="1" applyFont="1" applyFill="1" applyBorder="1">
      <alignment vertical="center"/>
    </xf>
    <xf numFmtId="176" fontId="64" fillId="0" borderId="16" xfId="0" applyNumberFormat="1" applyFont="1" applyBorder="1">
      <alignment vertical="center"/>
    </xf>
    <xf numFmtId="0" fontId="68" fillId="0" borderId="16" xfId="0" applyFont="1" applyBorder="1">
      <alignment vertical="center"/>
    </xf>
    <xf numFmtId="176" fontId="67" fillId="2" borderId="16" xfId="0" applyNumberFormat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4" fillId="0" borderId="16" xfId="2006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80" fontId="71" fillId="0" borderId="0" xfId="0" applyNumberFormat="1" applyFont="1" applyFill="1" applyAlignment="1">
      <alignment horizontal="center" vertical="center" wrapText="1"/>
    </xf>
    <xf numFmtId="180" fontId="66" fillId="0" borderId="0" xfId="0" applyNumberFormat="1" applyFont="1" applyFill="1" applyAlignment="1">
      <alignment horizontal="center" vertical="center" wrapText="1"/>
    </xf>
    <xf numFmtId="180" fontId="66" fillId="0" borderId="0" xfId="0" applyNumberFormat="1" applyFont="1" applyFill="1" applyAlignment="1">
      <alignment horizontal="center" vertical="center"/>
    </xf>
    <xf numFmtId="180" fontId="66" fillId="0" borderId="0" xfId="0" applyNumberFormat="1" applyFont="1" applyFill="1">
      <alignment vertical="center"/>
    </xf>
    <xf numFmtId="180" fontId="66" fillId="2" borderId="0" xfId="0" applyNumberFormat="1" applyFont="1" applyFill="1" applyAlignment="1">
      <alignment horizontal="center" vertical="center" wrapText="1"/>
    </xf>
    <xf numFmtId="180" fontId="66" fillId="0" borderId="0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49" fontId="72" fillId="0" borderId="16" xfId="1123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2" fillId="0" borderId="0" xfId="0" applyFont="1" applyFill="1" applyAlignment="1"/>
    <xf numFmtId="0" fontId="0" fillId="0" borderId="0" xfId="0" applyAlignment="1"/>
    <xf numFmtId="0" fontId="58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180" fontId="58" fillId="0" borderId="16" xfId="0" applyNumberFormat="1" applyFont="1" applyFill="1" applyBorder="1" applyAlignment="1">
      <alignment horizontal="center" vertical="center"/>
    </xf>
    <xf numFmtId="180" fontId="58" fillId="0" borderId="16" xfId="0" applyNumberFormat="1" applyFont="1" applyFill="1" applyBorder="1" applyAlignment="1">
      <alignment horizontal="center" vertical="center" wrapText="1"/>
    </xf>
    <xf numFmtId="176" fontId="58" fillId="0" borderId="16" xfId="2007" applyNumberFormat="1" applyFont="1" applyFill="1" applyBorder="1" applyAlignment="1">
      <alignment horizontal="center" vertical="center" wrapText="1"/>
    </xf>
    <xf numFmtId="0" fontId="4" fillId="0" borderId="16" xfId="2008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 readingOrder="1"/>
    </xf>
    <xf numFmtId="0" fontId="58" fillId="0" borderId="16" xfId="2008" applyFont="1" applyFill="1" applyBorder="1" applyAlignment="1">
      <alignment horizontal="center" vertical="center" wrapText="1"/>
    </xf>
    <xf numFmtId="180" fontId="4" fillId="0" borderId="16" xfId="2008" applyNumberFormat="1" applyFont="1" applyFill="1" applyBorder="1" applyAlignment="1">
      <alignment horizontal="center" vertical="center" wrapText="1"/>
    </xf>
    <xf numFmtId="176" fontId="58" fillId="0" borderId="16" xfId="0" applyNumberFormat="1" applyFont="1" applyFill="1" applyBorder="1" applyAlignment="1">
      <alignment horizontal="center" vertical="center" wrapText="1"/>
    </xf>
    <xf numFmtId="176" fontId="4" fillId="0" borderId="16" xfId="2007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1" xfId="2008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80" fontId="42" fillId="0" borderId="0" xfId="0" applyNumberFormat="1" applyFont="1" applyFill="1" applyAlignment="1"/>
    <xf numFmtId="176" fontId="42" fillId="0" borderId="0" xfId="0" applyNumberFormat="1" applyFont="1" applyFill="1" applyAlignment="1"/>
    <xf numFmtId="0" fontId="4" fillId="0" borderId="16" xfId="0" applyFont="1" applyFill="1" applyBorder="1" applyAlignment="1">
      <alignment horizontal="center" vertical="center" wrapText="1"/>
    </xf>
    <xf numFmtId="180" fontId="58" fillId="0" borderId="16" xfId="2008" applyNumberFormat="1" applyFont="1" applyFill="1" applyBorder="1" applyAlignment="1">
      <alignment horizontal="center" vertical="center" wrapText="1"/>
    </xf>
    <xf numFmtId="181" fontId="58" fillId="0" borderId="16" xfId="0" applyNumberFormat="1" applyFont="1" applyFill="1" applyBorder="1" applyAlignment="1">
      <alignment horizontal="center" vertical="center" wrapText="1"/>
    </xf>
    <xf numFmtId="0" fontId="4" fillId="0" borderId="20" xfId="2008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6" xfId="2007" applyNumberFormat="1" applyFont="1" applyFill="1" applyBorder="1" applyAlignment="1">
      <alignment horizontal="center" vertical="center" wrapText="1"/>
    </xf>
    <xf numFmtId="176" fontId="4" fillId="0" borderId="16" xfId="200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6" xfId="1149" applyFont="1" applyFill="1" applyBorder="1" applyAlignment="1">
      <alignment horizontal="center" vertical="center" wrapText="1"/>
    </xf>
    <xf numFmtId="180" fontId="4" fillId="0" borderId="16" xfId="1149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" fillId="0" borderId="1" xfId="2009" applyFont="1" applyFill="1" applyBorder="1" applyAlignment="1">
      <alignment horizontal="center" vertical="center" wrapText="1"/>
    </xf>
    <xf numFmtId="180" fontId="4" fillId="0" borderId="16" xfId="2009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176" fontId="58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176" fontId="4" fillId="0" borderId="16" xfId="0" applyNumberFormat="1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180" fontId="46" fillId="2" borderId="16" xfId="0" applyNumberFormat="1" applyFont="1" applyFill="1" applyBorder="1" applyAlignment="1">
      <alignment horizontal="center" vertical="center" wrapText="1"/>
    </xf>
    <xf numFmtId="180" fontId="67" fillId="2" borderId="16" xfId="1123" applyNumberFormat="1" applyFont="1" applyFill="1" applyBorder="1" applyAlignment="1">
      <alignment horizontal="center" vertical="center" wrapText="1"/>
    </xf>
    <xf numFmtId="176" fontId="46" fillId="2" borderId="16" xfId="0" applyNumberFormat="1" applyFont="1" applyFill="1" applyBorder="1" applyAlignment="1">
      <alignment horizontal="center" vertical="center" wrapText="1"/>
    </xf>
    <xf numFmtId="180" fontId="47" fillId="2" borderId="16" xfId="0" applyNumberFormat="1" applyFont="1" applyFill="1" applyBorder="1" applyAlignment="1">
      <alignment horizontal="center" vertical="center" wrapText="1"/>
    </xf>
    <xf numFmtId="180" fontId="67" fillId="2" borderId="16" xfId="0" applyNumberFormat="1" applyFont="1" applyFill="1" applyBorder="1" applyAlignment="1">
      <alignment horizontal="center" vertical="center" wrapText="1"/>
    </xf>
    <xf numFmtId="176" fontId="46" fillId="2" borderId="16" xfId="0" applyNumberFormat="1" applyFont="1" applyFill="1" applyBorder="1" applyAlignment="1">
      <alignment horizontal="center" vertical="center"/>
    </xf>
    <xf numFmtId="0" fontId="76" fillId="0" borderId="0" xfId="0" applyNumberFormat="1" applyFont="1" applyAlignment="1">
      <alignment horizontal="right" vertical="center"/>
    </xf>
    <xf numFmtId="0" fontId="77" fillId="0" borderId="16" xfId="0" applyNumberFormat="1" applyFont="1" applyBorder="1" applyAlignment="1">
      <alignment horizontal="center" vertical="center"/>
    </xf>
    <xf numFmtId="0" fontId="77" fillId="0" borderId="16" xfId="0" applyNumberFormat="1" applyFont="1" applyFill="1" applyBorder="1" applyAlignment="1">
      <alignment horizontal="center" vertical="center"/>
    </xf>
    <xf numFmtId="176" fontId="78" fillId="0" borderId="16" xfId="0" applyNumberFormat="1" applyFont="1" applyBorder="1">
      <alignment vertical="center"/>
    </xf>
    <xf numFmtId="0" fontId="77" fillId="0" borderId="16" xfId="0" applyNumberFormat="1" applyFont="1" applyBorder="1" applyAlignment="1">
      <alignment horizontal="center" vertical="center" wrapText="1"/>
    </xf>
    <xf numFmtId="176" fontId="77" fillId="0" borderId="16" xfId="0" applyNumberFormat="1" applyFont="1" applyBorder="1">
      <alignment vertical="center"/>
    </xf>
    <xf numFmtId="0" fontId="0" fillId="0" borderId="0" xfId="0" applyNumberFormat="1" applyAlignment="1">
      <alignment horizontal="center" vertical="center"/>
    </xf>
    <xf numFmtId="0" fontId="74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75" fillId="0" borderId="15" xfId="0" applyNumberFormat="1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8" fillId="2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46" fillId="29" borderId="11" xfId="0" applyNumberFormat="1" applyFont="1" applyFill="1" applyBorder="1" applyAlignment="1">
      <alignment horizontal="center" vertical="center"/>
    </xf>
    <xf numFmtId="0" fontId="46" fillId="29" borderId="1" xfId="0" applyNumberFormat="1" applyFont="1" applyFill="1" applyBorder="1" applyAlignment="1">
      <alignment horizontal="center" vertical="center"/>
    </xf>
    <xf numFmtId="0" fontId="49" fillId="29" borderId="13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51" fillId="0" borderId="15" xfId="0" applyNumberFormat="1" applyFont="1" applyBorder="1" applyAlignment="1">
      <alignment horizontal="center" vertical="center"/>
    </xf>
    <xf numFmtId="179" fontId="52" fillId="0" borderId="15" xfId="0" applyNumberFormat="1" applyFont="1" applyBorder="1" applyAlignment="1">
      <alignment horizontal="center" vertical="center"/>
    </xf>
    <xf numFmtId="0" fontId="42" fillId="29" borderId="16" xfId="1094" applyNumberFormat="1" applyFont="1" applyFill="1" applyBorder="1" applyAlignment="1">
      <alignment horizontal="center" vertical="center"/>
    </xf>
    <xf numFmtId="0" fontId="55" fillId="0" borderId="16" xfId="2005" applyNumberFormat="1" applyFont="1" applyBorder="1" applyAlignment="1">
      <alignment horizontal="center" vertical="center"/>
    </xf>
    <xf numFmtId="0" fontId="42" fillId="29" borderId="16" xfId="2005" applyNumberFormat="1" applyFont="1" applyFill="1" applyBorder="1" applyAlignment="1">
      <alignment horizontal="center" vertical="center" wrapText="1"/>
    </xf>
    <xf numFmtId="179" fontId="55" fillId="29" borderId="19" xfId="0" applyNumberFormat="1" applyFont="1" applyFill="1" applyBorder="1" applyAlignment="1">
      <alignment horizontal="center" vertical="center"/>
    </xf>
    <xf numFmtId="179" fontId="55" fillId="29" borderId="12" xfId="0" applyNumberFormat="1" applyFont="1" applyFill="1" applyBorder="1" applyAlignment="1">
      <alignment horizontal="center" vertical="center"/>
    </xf>
    <xf numFmtId="179" fontId="55" fillId="29" borderId="1" xfId="0" applyNumberFormat="1" applyFont="1" applyFill="1" applyBorder="1" applyAlignment="1">
      <alignment horizontal="center" vertical="center"/>
    </xf>
    <xf numFmtId="0" fontId="52" fillId="2" borderId="15" xfId="2001" applyNumberFormat="1" applyFont="1" applyFill="1" applyBorder="1" applyAlignment="1">
      <alignment horizontal="center" vertical="center"/>
    </xf>
    <xf numFmtId="0" fontId="52" fillId="2" borderId="15" xfId="2001" applyNumberFormat="1" applyFont="1" applyFill="1" applyBorder="1" applyAlignment="1">
      <alignment vertical="center"/>
    </xf>
    <xf numFmtId="179" fontId="55" fillId="29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2008" applyFont="1" applyFill="1" applyBorder="1" applyAlignment="1">
      <alignment horizontal="center" vertical="center" wrapText="1"/>
    </xf>
    <xf numFmtId="0" fontId="4" fillId="0" borderId="19" xfId="2008" applyFont="1" applyFill="1" applyBorder="1" applyAlignment="1">
      <alignment horizontal="center" vertical="center" wrapText="1"/>
    </xf>
    <xf numFmtId="0" fontId="4" fillId="0" borderId="12" xfId="2008" applyFont="1" applyFill="1" applyBorder="1" applyAlignment="1">
      <alignment horizontal="center" vertical="center" wrapText="1"/>
    </xf>
    <xf numFmtId="0" fontId="4" fillId="0" borderId="1" xfId="2008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180" fontId="73" fillId="0" borderId="15" xfId="0" applyNumberFormat="1" applyFont="1" applyFill="1" applyBorder="1" applyAlignment="1">
      <alignment horizontal="center" vertical="center"/>
    </xf>
    <xf numFmtId="180" fontId="71" fillId="0" borderId="0" xfId="0" applyNumberFormat="1" applyFont="1" applyFill="1" applyAlignment="1">
      <alignment horizontal="center" vertical="center" wrapText="1"/>
    </xf>
  </cellXfs>
  <cellStyles count="2012">
    <cellStyle name="0,0_x005f_x000d__x005f_x000a_NA_x005f_x000d__x005f_x000a_" xfId="2009"/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3" xfId="6"/>
    <cellStyle name="20% - 强调文字颜色 1 2 3" xfId="7"/>
    <cellStyle name="20% - 强调文字颜色 1 2 3 2" xfId="8"/>
    <cellStyle name="20% - 强调文字颜色 1 2 4" xfId="9"/>
    <cellStyle name="20% - 强调文字颜色 1 3" xfId="10"/>
    <cellStyle name="20% - 强调文字颜色 1 3 2" xfId="11"/>
    <cellStyle name="20% - 强调文字颜色 1 3 2 2" xfId="12"/>
    <cellStyle name="20% - 强调文字颜色 1 3 2 2 2" xfId="13"/>
    <cellStyle name="20% - 强调文字颜色 1 3 2 3" xfId="14"/>
    <cellStyle name="20% - 强调文字颜色 1 3 3" xfId="15"/>
    <cellStyle name="20% - 强调文字颜色 1 3 3 2" xfId="16"/>
    <cellStyle name="20% - 强调文字颜色 1 3 4" xfId="17"/>
    <cellStyle name="20% - 强调文字颜色 1 4" xfId="18"/>
    <cellStyle name="20% - 强调文字颜色 1 4 2" xfId="19"/>
    <cellStyle name="20% - 强调文字颜色 1 4 2 2" xfId="20"/>
    <cellStyle name="20% - 强调文字颜色 1 4 2 2 2" xfId="21"/>
    <cellStyle name="20% - 强调文字颜色 1 4 2 3" xfId="22"/>
    <cellStyle name="20% - 强调文字颜色 1 4 3" xfId="23"/>
    <cellStyle name="20% - 强调文字颜色 1 4 3 2" xfId="24"/>
    <cellStyle name="20% - 强调文字颜色 1 4 4" xfId="25"/>
    <cellStyle name="20% - 强调文字颜色 1 5" xfId="26"/>
    <cellStyle name="20% - 强调文字颜色 1 5 2" xfId="27"/>
    <cellStyle name="20% - 强调文字颜色 1 5 2 2" xfId="28"/>
    <cellStyle name="20% - 强调文字颜色 1 5 3" xfId="29"/>
    <cellStyle name="20% - 强调文字颜色 1 6" xfId="30"/>
    <cellStyle name="20% - 强调文字颜色 1 6 2" xfId="31"/>
    <cellStyle name="20% - 强调文字颜色 1 6 2 2" xfId="32"/>
    <cellStyle name="20% - 强调文字颜色 1 6 3" xfId="33"/>
    <cellStyle name="20% - 强调文字颜色 1 7" xfId="34"/>
    <cellStyle name="20% - 强调文字颜色 1 7 2" xfId="35"/>
    <cellStyle name="20% - 强调文字颜色 1 7 2 2" xfId="36"/>
    <cellStyle name="20% - 强调文字颜色 1 7 3" xfId="37"/>
    <cellStyle name="20% - 强调文字颜色 2 2" xfId="38"/>
    <cellStyle name="20% - 强调文字颜色 2 2 2" xfId="39"/>
    <cellStyle name="20% - 强调文字颜色 2 2 2 2" xfId="40"/>
    <cellStyle name="20% - 强调文字颜色 2 2 2 2 2" xfId="41"/>
    <cellStyle name="20% - 强调文字颜色 2 2 2 3" xfId="42"/>
    <cellStyle name="20% - 强调文字颜色 2 2 3" xfId="43"/>
    <cellStyle name="20% - 强调文字颜色 2 2 3 2" xfId="44"/>
    <cellStyle name="20% - 强调文字颜色 2 2 4" xfId="45"/>
    <cellStyle name="20% - 强调文字颜色 2 3" xfId="46"/>
    <cellStyle name="20% - 强调文字颜色 2 3 2" xfId="47"/>
    <cellStyle name="20% - 强调文字颜色 2 3 2 2" xfId="48"/>
    <cellStyle name="20% - 强调文字颜色 2 3 2 2 2" xfId="49"/>
    <cellStyle name="20% - 强调文字颜色 2 3 2 3" xfId="50"/>
    <cellStyle name="20% - 强调文字颜色 2 3 3" xfId="51"/>
    <cellStyle name="20% - 强调文字颜色 2 3 3 2" xfId="52"/>
    <cellStyle name="20% - 强调文字颜色 2 3 4" xfId="53"/>
    <cellStyle name="20% - 强调文字颜色 2 4" xfId="54"/>
    <cellStyle name="20% - 强调文字颜色 2 4 2" xfId="55"/>
    <cellStyle name="20% - 强调文字颜色 2 4 2 2" xfId="56"/>
    <cellStyle name="20% - 强调文字颜色 2 4 2 2 2" xfId="57"/>
    <cellStyle name="20% - 强调文字颜色 2 4 2 3" xfId="58"/>
    <cellStyle name="20% - 强调文字颜色 2 4 3" xfId="59"/>
    <cellStyle name="20% - 强调文字颜色 2 4 3 2" xfId="60"/>
    <cellStyle name="20% - 强调文字颜色 2 4 4" xfId="61"/>
    <cellStyle name="20% - 强调文字颜色 2 5" xfId="62"/>
    <cellStyle name="20% - 强调文字颜色 2 5 2" xfId="63"/>
    <cellStyle name="20% - 强调文字颜色 2 5 2 2" xfId="64"/>
    <cellStyle name="20% - 强调文字颜色 2 5 3" xfId="65"/>
    <cellStyle name="20% - 强调文字颜色 2 6" xfId="66"/>
    <cellStyle name="20% - 强调文字颜色 2 6 2" xfId="67"/>
    <cellStyle name="20% - 强调文字颜色 2 6 2 2" xfId="68"/>
    <cellStyle name="20% - 强调文字颜色 2 6 3" xfId="69"/>
    <cellStyle name="20% - 强调文字颜色 2 7" xfId="70"/>
    <cellStyle name="20% - 强调文字颜色 2 7 2" xfId="71"/>
    <cellStyle name="20% - 强调文字颜色 2 7 2 2" xfId="72"/>
    <cellStyle name="20% - 强调文字颜色 2 7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3" xfId="78"/>
    <cellStyle name="20% - 强调文字颜色 3 2 3" xfId="79"/>
    <cellStyle name="20% - 强调文字颜色 3 2 3 2" xfId="80"/>
    <cellStyle name="20% - 强调文字颜色 3 2 4" xfId="81"/>
    <cellStyle name="20% - 强调文字颜色 3 3" xfId="82"/>
    <cellStyle name="20% - 强调文字颜色 3 3 2" xfId="83"/>
    <cellStyle name="20% - 强调文字颜色 3 3 2 2" xfId="84"/>
    <cellStyle name="20% - 强调文字颜色 3 3 2 2 2" xfId="85"/>
    <cellStyle name="20% - 强调文字颜色 3 3 2 3" xfId="86"/>
    <cellStyle name="20% - 强调文字颜色 3 3 3" xfId="87"/>
    <cellStyle name="20% - 强调文字颜色 3 3 3 2" xfId="88"/>
    <cellStyle name="20% - 强调文字颜色 3 3 4" xfId="89"/>
    <cellStyle name="20% - 强调文字颜色 3 4" xfId="90"/>
    <cellStyle name="20% - 强调文字颜色 3 4 2" xfId="91"/>
    <cellStyle name="20% - 强调文字颜色 3 4 2 2" xfId="92"/>
    <cellStyle name="20% - 强调文字颜色 3 4 2 2 2" xfId="93"/>
    <cellStyle name="20% - 强调文字颜色 3 4 2 3" xfId="94"/>
    <cellStyle name="20% - 强调文字颜色 3 4 3" xfId="95"/>
    <cellStyle name="20% - 强调文字颜色 3 4 3 2" xfId="96"/>
    <cellStyle name="20% - 强调文字颜色 3 4 4" xfId="97"/>
    <cellStyle name="20% - 强调文字颜色 3 5" xfId="98"/>
    <cellStyle name="20% - 强调文字颜色 3 5 2" xfId="99"/>
    <cellStyle name="20% - 强调文字颜色 3 5 2 2" xfId="100"/>
    <cellStyle name="20% - 强调文字颜色 3 5 3" xfId="101"/>
    <cellStyle name="20% - 强调文字颜色 3 6" xfId="102"/>
    <cellStyle name="20% - 强调文字颜色 3 6 2" xfId="103"/>
    <cellStyle name="20% - 强调文字颜色 3 6 2 2" xfId="104"/>
    <cellStyle name="20% - 强调文字颜色 3 6 3" xfId="105"/>
    <cellStyle name="20% - 强调文字颜色 3 7" xfId="106"/>
    <cellStyle name="20% - 强调文字颜色 3 7 2" xfId="107"/>
    <cellStyle name="20% - 强调文字颜色 3 7 2 2" xfId="108"/>
    <cellStyle name="20% - 强调文字颜色 3 7 3" xfId="109"/>
    <cellStyle name="20% - 强调文字颜色 4 2" xfId="110"/>
    <cellStyle name="20% - 强调文字颜色 4 2 2" xfId="111"/>
    <cellStyle name="20% - 强调文字颜色 4 2 2 2" xfId="112"/>
    <cellStyle name="20% - 强调文字颜色 4 2 2 2 2" xfId="113"/>
    <cellStyle name="20% - 强调文字颜色 4 2 2 3" xfId="114"/>
    <cellStyle name="20% - 强调文字颜色 4 2 3" xfId="115"/>
    <cellStyle name="20% - 强调文字颜色 4 2 3 2" xfId="116"/>
    <cellStyle name="20% - 强调文字颜色 4 2 4" xfId="117"/>
    <cellStyle name="20% - 强调文字颜色 4 3" xfId="118"/>
    <cellStyle name="20% - 强调文字颜色 4 3 2" xfId="119"/>
    <cellStyle name="20% - 强调文字颜色 4 3 2 2" xfId="120"/>
    <cellStyle name="20% - 强调文字颜色 4 3 2 2 2" xfId="121"/>
    <cellStyle name="20% - 强调文字颜色 4 3 2 3" xfId="122"/>
    <cellStyle name="20% - 强调文字颜色 4 3 3" xfId="123"/>
    <cellStyle name="20% - 强调文字颜色 4 3 3 2" xfId="124"/>
    <cellStyle name="20% - 强调文字颜色 4 3 4" xfId="125"/>
    <cellStyle name="20% - 强调文字颜色 4 4" xfId="126"/>
    <cellStyle name="20% - 强调文字颜色 4 4 2" xfId="127"/>
    <cellStyle name="20% - 强调文字颜色 4 4 2 2" xfId="128"/>
    <cellStyle name="20% - 强调文字颜色 4 4 2 2 2" xfId="129"/>
    <cellStyle name="20% - 强调文字颜色 4 4 2 3" xfId="130"/>
    <cellStyle name="20% - 强调文字颜色 4 4 3" xfId="131"/>
    <cellStyle name="20% - 强调文字颜色 4 4 3 2" xfId="132"/>
    <cellStyle name="20% - 强调文字颜色 4 4 4" xfId="133"/>
    <cellStyle name="20% - 强调文字颜色 4 5" xfId="134"/>
    <cellStyle name="20% - 强调文字颜色 4 5 2" xfId="135"/>
    <cellStyle name="20% - 强调文字颜色 4 5 2 2" xfId="136"/>
    <cellStyle name="20% - 强调文字颜色 4 5 3" xfId="137"/>
    <cellStyle name="20% - 强调文字颜色 4 6" xfId="138"/>
    <cellStyle name="20% - 强调文字颜色 4 6 2" xfId="139"/>
    <cellStyle name="20% - 强调文字颜色 4 6 2 2" xfId="140"/>
    <cellStyle name="20% - 强调文字颜色 4 6 3" xfId="141"/>
    <cellStyle name="20% - 强调文字颜色 4 7" xfId="142"/>
    <cellStyle name="20% - 强调文字颜色 4 7 2" xfId="143"/>
    <cellStyle name="20% - 强调文字颜色 4 7 2 2" xfId="144"/>
    <cellStyle name="20% - 强调文字颜色 4 7 3" xfId="145"/>
    <cellStyle name="20% - 强调文字颜色 5 2" xfId="146"/>
    <cellStyle name="20% - 强调文字颜色 5 2 2" xfId="147"/>
    <cellStyle name="20% - 强调文字颜色 5 2 2 2" xfId="148"/>
    <cellStyle name="20% - 强调文字颜色 5 2 2 2 2" xfId="149"/>
    <cellStyle name="20% - 强调文字颜色 5 2 2 3" xfId="150"/>
    <cellStyle name="20% - 强调文字颜色 5 2 3" xfId="151"/>
    <cellStyle name="20% - 强调文字颜色 5 2 3 2" xfId="152"/>
    <cellStyle name="20% - 强调文字颜色 5 2 4" xfId="153"/>
    <cellStyle name="20% - 强调文字颜色 5 3" xfId="154"/>
    <cellStyle name="20% - 强调文字颜色 5 3 2" xfId="155"/>
    <cellStyle name="20% - 强调文字颜色 5 3 2 2" xfId="156"/>
    <cellStyle name="20% - 强调文字颜色 5 3 2 2 2" xfId="157"/>
    <cellStyle name="20% - 强调文字颜色 5 3 2 3" xfId="158"/>
    <cellStyle name="20% - 强调文字颜色 5 3 3" xfId="159"/>
    <cellStyle name="20% - 强调文字颜色 5 3 3 2" xfId="160"/>
    <cellStyle name="20% - 强调文字颜色 5 3 4" xfId="161"/>
    <cellStyle name="20% - 强调文字颜色 5 4" xfId="162"/>
    <cellStyle name="20% - 强调文字颜色 5 4 2" xfId="163"/>
    <cellStyle name="20% - 强调文字颜色 5 4 2 2" xfId="164"/>
    <cellStyle name="20% - 强调文字颜色 5 4 2 2 2" xfId="165"/>
    <cellStyle name="20% - 强调文字颜色 5 4 2 3" xfId="166"/>
    <cellStyle name="20% - 强调文字颜色 5 4 3" xfId="167"/>
    <cellStyle name="20% - 强调文字颜色 5 4 3 2" xfId="168"/>
    <cellStyle name="20% - 强调文字颜色 5 4 4" xfId="169"/>
    <cellStyle name="20% - 强调文字颜色 5 5" xfId="170"/>
    <cellStyle name="20% - 强调文字颜色 5 5 2" xfId="171"/>
    <cellStyle name="20% - 强调文字颜色 5 5 2 2" xfId="172"/>
    <cellStyle name="20% - 强调文字颜色 5 5 3" xfId="173"/>
    <cellStyle name="20% - 强调文字颜色 5 6" xfId="174"/>
    <cellStyle name="20% - 强调文字颜色 5 6 2" xfId="175"/>
    <cellStyle name="20% - 强调文字颜色 5 6 2 2" xfId="176"/>
    <cellStyle name="20% - 强调文字颜色 5 6 3" xfId="177"/>
    <cellStyle name="20% - 强调文字颜色 5 7" xfId="178"/>
    <cellStyle name="20% - 强调文字颜色 5 7 2" xfId="179"/>
    <cellStyle name="20% - 强调文字颜色 5 7 2 2" xfId="180"/>
    <cellStyle name="20% - 强调文字颜色 5 7 3" xfId="181"/>
    <cellStyle name="20% - 强调文字颜色 6 2" xfId="182"/>
    <cellStyle name="20% - 强调文字颜色 6 2 2" xfId="183"/>
    <cellStyle name="20% - 强调文字颜色 6 2 2 2" xfId="184"/>
    <cellStyle name="20% - 强调文字颜色 6 2 2 2 2" xfId="185"/>
    <cellStyle name="20% - 强调文字颜色 6 2 2 3" xfId="186"/>
    <cellStyle name="20% - 强调文字颜色 6 2 3" xfId="187"/>
    <cellStyle name="20% - 强调文字颜色 6 2 3 2" xfId="188"/>
    <cellStyle name="20% - 强调文字颜色 6 2 4" xfId="189"/>
    <cellStyle name="20% - 强调文字颜色 6 3" xfId="190"/>
    <cellStyle name="20% - 强调文字颜色 6 3 2" xfId="191"/>
    <cellStyle name="20% - 强调文字颜色 6 3 2 2" xfId="192"/>
    <cellStyle name="20% - 强调文字颜色 6 3 2 2 2" xfId="193"/>
    <cellStyle name="20% - 强调文字颜色 6 3 2 3" xfId="194"/>
    <cellStyle name="20% - 强调文字颜色 6 3 3" xfId="195"/>
    <cellStyle name="20% - 强调文字颜色 6 3 3 2" xfId="196"/>
    <cellStyle name="20% - 强调文字颜色 6 3 4" xfId="197"/>
    <cellStyle name="20% - 强调文字颜色 6 4" xfId="198"/>
    <cellStyle name="20% - 强调文字颜色 6 4 2" xfId="199"/>
    <cellStyle name="20% - 强调文字颜色 6 4 2 2" xfId="200"/>
    <cellStyle name="20% - 强调文字颜色 6 4 2 2 2" xfId="201"/>
    <cellStyle name="20% - 强调文字颜色 6 4 2 3" xfId="202"/>
    <cellStyle name="20% - 强调文字颜色 6 4 3" xfId="203"/>
    <cellStyle name="20% - 强调文字颜色 6 4 3 2" xfId="204"/>
    <cellStyle name="20% - 强调文字颜色 6 4 4" xfId="205"/>
    <cellStyle name="20% - 强调文字颜色 6 5" xfId="206"/>
    <cellStyle name="20% - 强调文字颜色 6 5 2" xfId="207"/>
    <cellStyle name="20% - 强调文字颜色 6 5 2 2" xfId="208"/>
    <cellStyle name="20% - 强调文字颜色 6 5 3" xfId="209"/>
    <cellStyle name="20% - 强调文字颜色 6 6" xfId="210"/>
    <cellStyle name="20% - 强调文字颜色 6 6 2" xfId="211"/>
    <cellStyle name="20% - 强调文字颜色 6 6 2 2" xfId="212"/>
    <cellStyle name="20% - 强调文字颜色 6 6 3" xfId="213"/>
    <cellStyle name="20% - 强调文字颜色 6 7" xfId="214"/>
    <cellStyle name="20% - 强调文字颜色 6 7 2" xfId="215"/>
    <cellStyle name="20% - 强调文字颜色 6 7 2 2" xfId="216"/>
    <cellStyle name="20% - 强调文字颜色 6 7 3" xfId="217"/>
    <cellStyle name="20% - 着色 1 2" xfId="218"/>
    <cellStyle name="20% - 着色 1 2 2" xfId="219"/>
    <cellStyle name="20% - 着色 1 2 2 2" xfId="220"/>
    <cellStyle name="20% - 着色 1 2 2 2 2" xfId="221"/>
    <cellStyle name="20% - 着色 1 2 2 3" xfId="222"/>
    <cellStyle name="20% - 着色 1 2 3" xfId="223"/>
    <cellStyle name="20% - 着色 1 2 3 2" xfId="224"/>
    <cellStyle name="20% - 着色 1 2 4" xfId="225"/>
    <cellStyle name="20% - 着色 1 3" xfId="226"/>
    <cellStyle name="20% - 着色 1 3 2" xfId="227"/>
    <cellStyle name="20% - 着色 1 3 2 2" xfId="228"/>
    <cellStyle name="20% - 着色 1 3 3" xfId="229"/>
    <cellStyle name="20% - 着色 1 4" xfId="230"/>
    <cellStyle name="20% - 着色 1 4 2" xfId="231"/>
    <cellStyle name="20% - 着色 1 4 2 2" xfId="232"/>
    <cellStyle name="20% - 着色 1 4 3" xfId="233"/>
    <cellStyle name="20% - 着色 1 5" xfId="234"/>
    <cellStyle name="20% - 着色 1 5 2" xfId="235"/>
    <cellStyle name="20% - 着色 1 6" xfId="236"/>
    <cellStyle name="20% - 着色 2 2" xfId="237"/>
    <cellStyle name="20% - 着色 2 2 2" xfId="238"/>
    <cellStyle name="20% - 着色 2 2 2 2" xfId="239"/>
    <cellStyle name="20% - 着色 2 2 2 2 2" xfId="240"/>
    <cellStyle name="20% - 着色 2 2 2 3" xfId="241"/>
    <cellStyle name="20% - 着色 2 2 3" xfId="242"/>
    <cellStyle name="20% - 着色 2 2 3 2" xfId="243"/>
    <cellStyle name="20% - 着色 2 2 4" xfId="244"/>
    <cellStyle name="20% - 着色 2 3" xfId="245"/>
    <cellStyle name="20% - 着色 2 3 2" xfId="246"/>
    <cellStyle name="20% - 着色 2 3 2 2" xfId="247"/>
    <cellStyle name="20% - 着色 2 3 3" xfId="248"/>
    <cellStyle name="20% - 着色 2 4" xfId="249"/>
    <cellStyle name="20% - 着色 2 4 2" xfId="250"/>
    <cellStyle name="20% - 着色 2 4 2 2" xfId="251"/>
    <cellStyle name="20% - 着色 2 4 3" xfId="252"/>
    <cellStyle name="20% - 着色 2 5" xfId="253"/>
    <cellStyle name="20% - 着色 2 5 2" xfId="254"/>
    <cellStyle name="20% - 着色 2 6" xfId="255"/>
    <cellStyle name="20% - 着色 3 2" xfId="256"/>
    <cellStyle name="20% - 着色 3 2 2" xfId="257"/>
    <cellStyle name="20% - 着色 3 2 2 2" xfId="258"/>
    <cellStyle name="20% - 着色 3 2 2 2 2" xfId="259"/>
    <cellStyle name="20% - 着色 3 2 2 3" xfId="260"/>
    <cellStyle name="20% - 着色 3 2 3" xfId="261"/>
    <cellStyle name="20% - 着色 3 2 3 2" xfId="262"/>
    <cellStyle name="20% - 着色 3 2 4" xfId="263"/>
    <cellStyle name="20% - 着色 3 3" xfId="264"/>
    <cellStyle name="20% - 着色 3 3 2" xfId="265"/>
    <cellStyle name="20% - 着色 3 3 2 2" xfId="266"/>
    <cellStyle name="20% - 着色 3 3 3" xfId="267"/>
    <cellStyle name="20% - 着色 3 4" xfId="268"/>
    <cellStyle name="20% - 着色 3 4 2" xfId="269"/>
    <cellStyle name="20% - 着色 3 4 2 2" xfId="270"/>
    <cellStyle name="20% - 着色 3 4 3" xfId="271"/>
    <cellStyle name="20% - 着色 3 5" xfId="272"/>
    <cellStyle name="20% - 着色 3 5 2" xfId="273"/>
    <cellStyle name="20% - 着色 3 6" xfId="274"/>
    <cellStyle name="20% - 着色 4 2" xfId="275"/>
    <cellStyle name="20% - 着色 4 2 2" xfId="276"/>
    <cellStyle name="20% - 着色 4 2 2 2" xfId="277"/>
    <cellStyle name="20% - 着色 4 2 2 2 2" xfId="278"/>
    <cellStyle name="20% - 着色 4 2 2 3" xfId="279"/>
    <cellStyle name="20% - 着色 4 2 3" xfId="280"/>
    <cellStyle name="20% - 着色 4 2 3 2" xfId="281"/>
    <cellStyle name="20% - 着色 4 2 4" xfId="282"/>
    <cellStyle name="20% - 着色 4 3" xfId="283"/>
    <cellStyle name="20% - 着色 4 3 2" xfId="284"/>
    <cellStyle name="20% - 着色 4 3 2 2" xfId="285"/>
    <cellStyle name="20% - 着色 4 3 3" xfId="286"/>
    <cellStyle name="20% - 着色 4 4" xfId="287"/>
    <cellStyle name="20% - 着色 4 4 2" xfId="288"/>
    <cellStyle name="20% - 着色 4 4 2 2" xfId="289"/>
    <cellStyle name="20% - 着色 4 4 3" xfId="290"/>
    <cellStyle name="20% - 着色 4 5" xfId="291"/>
    <cellStyle name="20% - 着色 4 5 2" xfId="292"/>
    <cellStyle name="20% - 着色 4 6" xfId="293"/>
    <cellStyle name="20% - 着色 5 2" xfId="294"/>
    <cellStyle name="20% - 着色 5 2 2" xfId="295"/>
    <cellStyle name="20% - 着色 5 2 2 2" xfId="296"/>
    <cellStyle name="20% - 着色 5 2 2 2 2" xfId="297"/>
    <cellStyle name="20% - 着色 5 2 2 3" xfId="298"/>
    <cellStyle name="20% - 着色 5 2 3" xfId="299"/>
    <cellStyle name="20% - 着色 5 2 3 2" xfId="300"/>
    <cellStyle name="20% - 着色 5 2 4" xfId="301"/>
    <cellStyle name="20% - 着色 5 3" xfId="302"/>
    <cellStyle name="20% - 着色 5 3 2" xfId="303"/>
    <cellStyle name="20% - 着色 5 3 2 2" xfId="304"/>
    <cellStyle name="20% - 着色 5 3 3" xfId="305"/>
    <cellStyle name="20% - 着色 5 4" xfId="306"/>
    <cellStyle name="20% - 着色 5 4 2" xfId="307"/>
    <cellStyle name="20% - 着色 5 4 2 2" xfId="308"/>
    <cellStyle name="20% - 着色 5 4 3" xfId="309"/>
    <cellStyle name="20% - 着色 5 5" xfId="310"/>
    <cellStyle name="20% - 着色 5 5 2" xfId="311"/>
    <cellStyle name="20% - 着色 5 6" xfId="312"/>
    <cellStyle name="20% - 着色 6 2" xfId="313"/>
    <cellStyle name="20% - 着色 6 2 2" xfId="314"/>
    <cellStyle name="20% - 着色 6 2 2 2" xfId="315"/>
    <cellStyle name="20% - 着色 6 2 2 2 2" xfId="316"/>
    <cellStyle name="20% - 着色 6 2 2 3" xfId="317"/>
    <cellStyle name="20% - 着色 6 2 3" xfId="318"/>
    <cellStyle name="20% - 着色 6 2 3 2" xfId="319"/>
    <cellStyle name="20% - 着色 6 2 4" xfId="320"/>
    <cellStyle name="20% - 着色 6 3" xfId="321"/>
    <cellStyle name="20% - 着色 6 3 2" xfId="322"/>
    <cellStyle name="20% - 着色 6 3 2 2" xfId="323"/>
    <cellStyle name="20% - 着色 6 3 3" xfId="324"/>
    <cellStyle name="20% - 着色 6 4" xfId="325"/>
    <cellStyle name="20% - 着色 6 4 2" xfId="326"/>
    <cellStyle name="20% - 着色 6 4 2 2" xfId="327"/>
    <cellStyle name="20% - 着色 6 4 3" xfId="328"/>
    <cellStyle name="20% - 着色 6 5" xfId="329"/>
    <cellStyle name="20% - 着色 6 5 2" xfId="330"/>
    <cellStyle name="20% - 着色 6 6" xfId="331"/>
    <cellStyle name="40% - 强调文字颜色 1 2" xfId="332"/>
    <cellStyle name="40% - 强调文字颜色 1 2 2" xfId="333"/>
    <cellStyle name="40% - 强调文字颜色 1 2 2 2" xfId="334"/>
    <cellStyle name="40% - 强调文字颜色 1 2 2 2 2" xfId="335"/>
    <cellStyle name="40% - 强调文字颜色 1 2 2 3" xfId="336"/>
    <cellStyle name="40% - 强调文字颜色 1 2 3" xfId="337"/>
    <cellStyle name="40% - 强调文字颜色 1 2 3 2" xfId="338"/>
    <cellStyle name="40% - 强调文字颜色 1 2 4" xfId="339"/>
    <cellStyle name="40% - 强调文字颜色 1 3" xfId="340"/>
    <cellStyle name="40% - 强调文字颜色 1 3 2" xfId="341"/>
    <cellStyle name="40% - 强调文字颜色 1 3 2 2" xfId="342"/>
    <cellStyle name="40% - 强调文字颜色 1 3 2 2 2" xfId="343"/>
    <cellStyle name="40% - 强调文字颜色 1 3 2 3" xfId="344"/>
    <cellStyle name="40% - 强调文字颜色 1 3 3" xfId="345"/>
    <cellStyle name="40% - 强调文字颜色 1 3 3 2" xfId="346"/>
    <cellStyle name="40% - 强调文字颜色 1 3 4" xfId="347"/>
    <cellStyle name="40% - 强调文字颜色 1 4" xfId="348"/>
    <cellStyle name="40% - 强调文字颜色 1 4 2" xfId="349"/>
    <cellStyle name="40% - 强调文字颜色 1 4 2 2" xfId="350"/>
    <cellStyle name="40% - 强调文字颜色 1 4 2 2 2" xfId="351"/>
    <cellStyle name="40% - 强调文字颜色 1 4 2 3" xfId="352"/>
    <cellStyle name="40% - 强调文字颜色 1 4 3" xfId="353"/>
    <cellStyle name="40% - 强调文字颜色 1 4 3 2" xfId="354"/>
    <cellStyle name="40% - 强调文字颜色 1 4 4" xfId="355"/>
    <cellStyle name="40% - 强调文字颜色 1 5" xfId="356"/>
    <cellStyle name="40% - 强调文字颜色 1 5 2" xfId="357"/>
    <cellStyle name="40% - 强调文字颜色 1 5 2 2" xfId="358"/>
    <cellStyle name="40% - 强调文字颜色 1 5 3" xfId="359"/>
    <cellStyle name="40% - 强调文字颜色 1 6" xfId="360"/>
    <cellStyle name="40% - 强调文字颜色 1 6 2" xfId="361"/>
    <cellStyle name="40% - 强调文字颜色 1 6 2 2" xfId="362"/>
    <cellStyle name="40% - 强调文字颜色 1 6 3" xfId="363"/>
    <cellStyle name="40% - 强调文字颜色 1 7" xfId="364"/>
    <cellStyle name="40% - 强调文字颜色 1 7 2" xfId="365"/>
    <cellStyle name="40% - 强调文字颜色 1 7 2 2" xfId="366"/>
    <cellStyle name="40% - 强调文字颜色 1 7 3" xfId="367"/>
    <cellStyle name="40% - 强调文字颜色 2 2" xfId="368"/>
    <cellStyle name="40% - 强调文字颜色 2 2 2" xfId="369"/>
    <cellStyle name="40% - 强调文字颜色 2 2 2 2" xfId="370"/>
    <cellStyle name="40% - 强调文字颜色 2 2 2 2 2" xfId="371"/>
    <cellStyle name="40% - 强调文字颜色 2 2 2 3" xfId="372"/>
    <cellStyle name="40% - 强调文字颜色 2 2 3" xfId="373"/>
    <cellStyle name="40% - 强调文字颜色 2 2 3 2" xfId="374"/>
    <cellStyle name="40% - 强调文字颜色 2 2 4" xfId="375"/>
    <cellStyle name="40% - 强调文字颜色 2 3" xfId="376"/>
    <cellStyle name="40% - 强调文字颜色 2 3 2" xfId="377"/>
    <cellStyle name="40% - 强调文字颜色 2 3 2 2" xfId="378"/>
    <cellStyle name="40% - 强调文字颜色 2 3 2 2 2" xfId="379"/>
    <cellStyle name="40% - 强调文字颜色 2 3 2 3" xfId="380"/>
    <cellStyle name="40% - 强调文字颜色 2 3 3" xfId="381"/>
    <cellStyle name="40% - 强调文字颜色 2 3 3 2" xfId="382"/>
    <cellStyle name="40% - 强调文字颜色 2 3 4" xfId="383"/>
    <cellStyle name="40% - 强调文字颜色 2 4" xfId="384"/>
    <cellStyle name="40% - 强调文字颜色 2 4 2" xfId="385"/>
    <cellStyle name="40% - 强调文字颜色 2 4 2 2" xfId="386"/>
    <cellStyle name="40% - 强调文字颜色 2 4 2 2 2" xfId="387"/>
    <cellStyle name="40% - 强调文字颜色 2 4 2 3" xfId="388"/>
    <cellStyle name="40% - 强调文字颜色 2 4 3" xfId="389"/>
    <cellStyle name="40% - 强调文字颜色 2 4 3 2" xfId="390"/>
    <cellStyle name="40% - 强调文字颜色 2 4 4" xfId="391"/>
    <cellStyle name="40% - 强调文字颜色 2 5" xfId="392"/>
    <cellStyle name="40% - 强调文字颜色 2 5 2" xfId="393"/>
    <cellStyle name="40% - 强调文字颜色 2 5 2 2" xfId="394"/>
    <cellStyle name="40% - 强调文字颜色 2 5 3" xfId="395"/>
    <cellStyle name="40% - 强调文字颜色 2 6" xfId="396"/>
    <cellStyle name="40% - 强调文字颜色 2 6 2" xfId="397"/>
    <cellStyle name="40% - 强调文字颜色 2 6 2 2" xfId="398"/>
    <cellStyle name="40% - 强调文字颜色 2 6 3" xfId="399"/>
    <cellStyle name="40% - 强调文字颜色 2 7" xfId="400"/>
    <cellStyle name="40% - 强调文字颜色 2 7 2" xfId="401"/>
    <cellStyle name="40% - 强调文字颜色 2 7 2 2" xfId="402"/>
    <cellStyle name="40% - 强调文字颜色 2 7 3" xfId="403"/>
    <cellStyle name="40% - 强调文字颜色 3 2" xfId="404"/>
    <cellStyle name="40% - 强调文字颜色 3 2 2" xfId="405"/>
    <cellStyle name="40% - 强调文字颜色 3 2 2 2" xfId="406"/>
    <cellStyle name="40% - 强调文字颜色 3 2 2 2 2" xfId="407"/>
    <cellStyle name="40% - 强调文字颜色 3 2 2 3" xfId="408"/>
    <cellStyle name="40% - 强调文字颜色 3 2 3" xfId="409"/>
    <cellStyle name="40% - 强调文字颜色 3 2 3 2" xfId="410"/>
    <cellStyle name="40% - 强调文字颜色 3 2 4" xfId="411"/>
    <cellStyle name="40% - 强调文字颜色 3 3" xfId="412"/>
    <cellStyle name="40% - 强调文字颜色 3 3 2" xfId="413"/>
    <cellStyle name="40% - 强调文字颜色 3 3 2 2" xfId="414"/>
    <cellStyle name="40% - 强调文字颜色 3 3 2 2 2" xfId="415"/>
    <cellStyle name="40% - 强调文字颜色 3 3 2 3" xfId="416"/>
    <cellStyle name="40% - 强调文字颜色 3 3 3" xfId="417"/>
    <cellStyle name="40% - 强调文字颜色 3 3 3 2" xfId="418"/>
    <cellStyle name="40% - 强调文字颜色 3 3 4" xfId="419"/>
    <cellStyle name="40% - 强调文字颜色 3 4" xfId="420"/>
    <cellStyle name="40% - 强调文字颜色 3 4 2" xfId="421"/>
    <cellStyle name="40% - 强调文字颜色 3 4 2 2" xfId="422"/>
    <cellStyle name="40% - 强调文字颜色 3 4 2 2 2" xfId="423"/>
    <cellStyle name="40% - 强调文字颜色 3 4 2 3" xfId="424"/>
    <cellStyle name="40% - 强调文字颜色 3 4 3" xfId="425"/>
    <cellStyle name="40% - 强调文字颜色 3 4 3 2" xfId="426"/>
    <cellStyle name="40% - 强调文字颜色 3 4 4" xfId="427"/>
    <cellStyle name="40% - 强调文字颜色 3 5" xfId="428"/>
    <cellStyle name="40% - 强调文字颜色 3 5 2" xfId="429"/>
    <cellStyle name="40% - 强调文字颜色 3 5 2 2" xfId="430"/>
    <cellStyle name="40% - 强调文字颜色 3 5 3" xfId="431"/>
    <cellStyle name="40% - 强调文字颜色 3 6" xfId="432"/>
    <cellStyle name="40% - 强调文字颜色 3 6 2" xfId="433"/>
    <cellStyle name="40% - 强调文字颜色 3 6 2 2" xfId="434"/>
    <cellStyle name="40% - 强调文字颜色 3 6 3" xfId="435"/>
    <cellStyle name="40% - 强调文字颜色 3 7" xfId="436"/>
    <cellStyle name="40% - 强调文字颜色 3 7 2" xfId="437"/>
    <cellStyle name="40% - 强调文字颜色 3 7 2 2" xfId="438"/>
    <cellStyle name="40% - 强调文字颜色 3 7 3" xfId="439"/>
    <cellStyle name="40% - 强调文字颜色 4 2" xfId="440"/>
    <cellStyle name="40% - 强调文字颜色 4 2 2" xfId="441"/>
    <cellStyle name="40% - 强调文字颜色 4 2 2 2" xfId="442"/>
    <cellStyle name="40% - 强调文字颜色 4 2 2 2 2" xfId="443"/>
    <cellStyle name="40% - 强调文字颜色 4 2 2 3" xfId="444"/>
    <cellStyle name="40% - 强调文字颜色 4 2 3" xfId="445"/>
    <cellStyle name="40% - 强调文字颜色 4 2 3 2" xfId="446"/>
    <cellStyle name="40% - 强调文字颜色 4 2 4" xfId="447"/>
    <cellStyle name="40% - 强调文字颜色 4 3" xfId="448"/>
    <cellStyle name="40% - 强调文字颜色 4 3 2" xfId="449"/>
    <cellStyle name="40% - 强调文字颜色 4 3 2 2" xfId="450"/>
    <cellStyle name="40% - 强调文字颜色 4 3 2 2 2" xfId="451"/>
    <cellStyle name="40% - 强调文字颜色 4 3 2 3" xfId="452"/>
    <cellStyle name="40% - 强调文字颜色 4 3 3" xfId="453"/>
    <cellStyle name="40% - 强调文字颜色 4 3 3 2" xfId="454"/>
    <cellStyle name="40% - 强调文字颜色 4 3 4" xfId="455"/>
    <cellStyle name="40% - 强调文字颜色 4 4" xfId="456"/>
    <cellStyle name="40% - 强调文字颜色 4 4 2" xfId="457"/>
    <cellStyle name="40% - 强调文字颜色 4 4 2 2" xfId="458"/>
    <cellStyle name="40% - 强调文字颜色 4 4 2 2 2" xfId="459"/>
    <cellStyle name="40% - 强调文字颜色 4 4 2 3" xfId="460"/>
    <cellStyle name="40% - 强调文字颜色 4 4 3" xfId="461"/>
    <cellStyle name="40% - 强调文字颜色 4 4 3 2" xfId="462"/>
    <cellStyle name="40% - 强调文字颜色 4 4 4" xfId="463"/>
    <cellStyle name="40% - 强调文字颜色 4 5" xfId="464"/>
    <cellStyle name="40% - 强调文字颜色 4 5 2" xfId="465"/>
    <cellStyle name="40% - 强调文字颜色 4 5 2 2" xfId="466"/>
    <cellStyle name="40% - 强调文字颜色 4 5 3" xfId="467"/>
    <cellStyle name="40% - 强调文字颜色 4 6" xfId="468"/>
    <cellStyle name="40% - 强调文字颜色 4 6 2" xfId="469"/>
    <cellStyle name="40% - 强调文字颜色 4 6 2 2" xfId="470"/>
    <cellStyle name="40% - 强调文字颜色 4 6 3" xfId="471"/>
    <cellStyle name="40% - 强调文字颜色 4 7" xfId="472"/>
    <cellStyle name="40% - 强调文字颜色 4 7 2" xfId="473"/>
    <cellStyle name="40% - 强调文字颜色 4 7 2 2" xfId="474"/>
    <cellStyle name="40% - 强调文字颜色 4 7 3" xfId="475"/>
    <cellStyle name="40% - 强调文字颜色 5 2" xfId="476"/>
    <cellStyle name="40% - 强调文字颜色 5 2 2" xfId="477"/>
    <cellStyle name="40% - 强调文字颜色 5 2 2 2" xfId="478"/>
    <cellStyle name="40% - 强调文字颜色 5 2 2 2 2" xfId="479"/>
    <cellStyle name="40% - 强调文字颜色 5 2 2 3" xfId="480"/>
    <cellStyle name="40% - 强调文字颜色 5 2 3" xfId="481"/>
    <cellStyle name="40% - 强调文字颜色 5 2 3 2" xfId="482"/>
    <cellStyle name="40% - 强调文字颜色 5 2 4" xfId="483"/>
    <cellStyle name="40% - 强调文字颜色 5 3" xfId="484"/>
    <cellStyle name="40% - 强调文字颜色 5 3 2" xfId="485"/>
    <cellStyle name="40% - 强调文字颜色 5 3 2 2" xfId="486"/>
    <cellStyle name="40% - 强调文字颜色 5 3 2 2 2" xfId="487"/>
    <cellStyle name="40% - 强调文字颜色 5 3 2 3" xfId="488"/>
    <cellStyle name="40% - 强调文字颜色 5 3 3" xfId="489"/>
    <cellStyle name="40% - 强调文字颜色 5 3 3 2" xfId="490"/>
    <cellStyle name="40% - 强调文字颜色 5 3 4" xfId="491"/>
    <cellStyle name="40% - 强调文字颜色 5 4" xfId="492"/>
    <cellStyle name="40% - 强调文字颜色 5 4 2" xfId="493"/>
    <cellStyle name="40% - 强调文字颜色 5 4 2 2" xfId="494"/>
    <cellStyle name="40% - 强调文字颜色 5 4 2 2 2" xfId="495"/>
    <cellStyle name="40% - 强调文字颜色 5 4 2 3" xfId="496"/>
    <cellStyle name="40% - 强调文字颜色 5 4 3" xfId="497"/>
    <cellStyle name="40% - 强调文字颜色 5 4 3 2" xfId="498"/>
    <cellStyle name="40% - 强调文字颜色 5 4 4" xfId="499"/>
    <cellStyle name="40% - 强调文字颜色 5 5" xfId="500"/>
    <cellStyle name="40% - 强调文字颜色 5 5 2" xfId="501"/>
    <cellStyle name="40% - 强调文字颜色 5 5 2 2" xfId="502"/>
    <cellStyle name="40% - 强调文字颜色 5 5 3" xfId="503"/>
    <cellStyle name="40% - 强调文字颜色 5 6" xfId="504"/>
    <cellStyle name="40% - 强调文字颜色 5 6 2" xfId="505"/>
    <cellStyle name="40% - 强调文字颜色 5 6 2 2" xfId="506"/>
    <cellStyle name="40% - 强调文字颜色 5 6 3" xfId="507"/>
    <cellStyle name="40% - 强调文字颜色 5 7" xfId="508"/>
    <cellStyle name="40% - 强调文字颜色 5 7 2" xfId="509"/>
    <cellStyle name="40% - 强调文字颜色 5 7 2 2" xfId="510"/>
    <cellStyle name="40% - 强调文字颜色 5 7 3" xfId="511"/>
    <cellStyle name="40% - 强调文字颜色 6 2" xfId="512"/>
    <cellStyle name="40% - 强调文字颜色 6 2 2" xfId="513"/>
    <cellStyle name="40% - 强调文字颜色 6 2 2 2" xfId="514"/>
    <cellStyle name="40% - 强调文字颜色 6 2 2 2 2" xfId="515"/>
    <cellStyle name="40% - 强调文字颜色 6 2 2 3" xfId="516"/>
    <cellStyle name="40% - 强调文字颜色 6 2 3" xfId="517"/>
    <cellStyle name="40% - 强调文字颜色 6 2 3 2" xfId="518"/>
    <cellStyle name="40% - 强调文字颜色 6 2 4" xfId="519"/>
    <cellStyle name="40% - 强调文字颜色 6 3" xfId="520"/>
    <cellStyle name="40% - 强调文字颜色 6 3 2" xfId="521"/>
    <cellStyle name="40% - 强调文字颜色 6 3 2 2" xfId="522"/>
    <cellStyle name="40% - 强调文字颜色 6 3 2 2 2" xfId="523"/>
    <cellStyle name="40% - 强调文字颜色 6 3 2 3" xfId="524"/>
    <cellStyle name="40% - 强调文字颜色 6 3 3" xfId="525"/>
    <cellStyle name="40% - 强调文字颜色 6 3 3 2" xfId="526"/>
    <cellStyle name="40% - 强调文字颜色 6 3 4" xfId="527"/>
    <cellStyle name="40% - 强调文字颜色 6 4" xfId="528"/>
    <cellStyle name="40% - 强调文字颜色 6 4 2" xfId="529"/>
    <cellStyle name="40% - 强调文字颜色 6 4 2 2" xfId="530"/>
    <cellStyle name="40% - 强调文字颜色 6 4 2 2 2" xfId="531"/>
    <cellStyle name="40% - 强调文字颜色 6 4 2 3" xfId="532"/>
    <cellStyle name="40% - 强调文字颜色 6 4 3" xfId="533"/>
    <cellStyle name="40% - 强调文字颜色 6 4 3 2" xfId="534"/>
    <cellStyle name="40% - 强调文字颜色 6 4 4" xfId="535"/>
    <cellStyle name="40% - 强调文字颜色 6 5" xfId="536"/>
    <cellStyle name="40% - 强调文字颜色 6 5 2" xfId="537"/>
    <cellStyle name="40% - 强调文字颜色 6 5 2 2" xfId="538"/>
    <cellStyle name="40% - 强调文字颜色 6 5 3" xfId="539"/>
    <cellStyle name="40% - 强调文字颜色 6 6" xfId="540"/>
    <cellStyle name="40% - 强调文字颜色 6 6 2" xfId="541"/>
    <cellStyle name="40% - 强调文字颜色 6 6 2 2" xfId="542"/>
    <cellStyle name="40% - 强调文字颜色 6 6 3" xfId="543"/>
    <cellStyle name="40% - 强调文字颜色 6 7" xfId="544"/>
    <cellStyle name="40% - 强调文字颜色 6 7 2" xfId="545"/>
    <cellStyle name="40% - 强调文字颜色 6 7 2 2" xfId="546"/>
    <cellStyle name="40% - 强调文字颜色 6 7 3" xfId="547"/>
    <cellStyle name="40% - 着色 1 2" xfId="548"/>
    <cellStyle name="40% - 着色 1 2 2" xfId="549"/>
    <cellStyle name="40% - 着色 1 2 2 2" xfId="550"/>
    <cellStyle name="40% - 着色 1 2 2 2 2" xfId="551"/>
    <cellStyle name="40% - 着色 1 2 2 3" xfId="552"/>
    <cellStyle name="40% - 着色 1 2 3" xfId="553"/>
    <cellStyle name="40% - 着色 1 2 3 2" xfId="554"/>
    <cellStyle name="40% - 着色 1 2 4" xfId="555"/>
    <cellStyle name="40% - 着色 1 3" xfId="556"/>
    <cellStyle name="40% - 着色 1 3 2" xfId="557"/>
    <cellStyle name="40% - 着色 1 3 2 2" xfId="558"/>
    <cellStyle name="40% - 着色 1 3 3" xfId="559"/>
    <cellStyle name="40% - 着色 1 4" xfId="560"/>
    <cellStyle name="40% - 着色 1 4 2" xfId="561"/>
    <cellStyle name="40% - 着色 1 4 2 2" xfId="562"/>
    <cellStyle name="40% - 着色 1 4 3" xfId="563"/>
    <cellStyle name="40% - 着色 1 5" xfId="564"/>
    <cellStyle name="40% - 着色 1 5 2" xfId="565"/>
    <cellStyle name="40% - 着色 1 6" xfId="566"/>
    <cellStyle name="40% - 着色 2 2" xfId="567"/>
    <cellStyle name="40% - 着色 2 2 2" xfId="568"/>
    <cellStyle name="40% - 着色 2 2 2 2" xfId="569"/>
    <cellStyle name="40% - 着色 2 2 2 2 2" xfId="570"/>
    <cellStyle name="40% - 着色 2 2 2 3" xfId="571"/>
    <cellStyle name="40% - 着色 2 2 3" xfId="572"/>
    <cellStyle name="40% - 着色 2 2 3 2" xfId="573"/>
    <cellStyle name="40% - 着色 2 2 4" xfId="574"/>
    <cellStyle name="40% - 着色 2 3" xfId="575"/>
    <cellStyle name="40% - 着色 2 3 2" xfId="576"/>
    <cellStyle name="40% - 着色 2 3 2 2" xfId="577"/>
    <cellStyle name="40% - 着色 2 3 3" xfId="578"/>
    <cellStyle name="40% - 着色 2 4" xfId="579"/>
    <cellStyle name="40% - 着色 2 4 2" xfId="580"/>
    <cellStyle name="40% - 着色 2 4 2 2" xfId="581"/>
    <cellStyle name="40% - 着色 2 4 3" xfId="582"/>
    <cellStyle name="40% - 着色 2 5" xfId="583"/>
    <cellStyle name="40% - 着色 2 5 2" xfId="584"/>
    <cellStyle name="40% - 着色 2 6" xfId="585"/>
    <cellStyle name="40% - 着色 3 2" xfId="586"/>
    <cellStyle name="40% - 着色 3 2 2" xfId="587"/>
    <cellStyle name="40% - 着色 3 2 2 2" xfId="588"/>
    <cellStyle name="40% - 着色 3 2 2 2 2" xfId="589"/>
    <cellStyle name="40% - 着色 3 2 2 3" xfId="590"/>
    <cellStyle name="40% - 着色 3 2 3" xfId="591"/>
    <cellStyle name="40% - 着色 3 2 3 2" xfId="592"/>
    <cellStyle name="40% - 着色 3 2 4" xfId="593"/>
    <cellStyle name="40% - 着色 3 3" xfId="594"/>
    <cellStyle name="40% - 着色 3 3 2" xfId="595"/>
    <cellStyle name="40% - 着色 3 3 2 2" xfId="596"/>
    <cellStyle name="40% - 着色 3 3 3" xfId="597"/>
    <cellStyle name="40% - 着色 3 4" xfId="598"/>
    <cellStyle name="40% - 着色 3 4 2" xfId="599"/>
    <cellStyle name="40% - 着色 3 4 2 2" xfId="600"/>
    <cellStyle name="40% - 着色 3 4 3" xfId="601"/>
    <cellStyle name="40% - 着色 3 5" xfId="602"/>
    <cellStyle name="40% - 着色 3 5 2" xfId="603"/>
    <cellStyle name="40% - 着色 3 6" xfId="604"/>
    <cellStyle name="40% - 着色 4 2" xfId="605"/>
    <cellStyle name="40% - 着色 4 2 2" xfId="606"/>
    <cellStyle name="40% - 着色 4 2 2 2" xfId="607"/>
    <cellStyle name="40% - 着色 4 2 2 2 2" xfId="608"/>
    <cellStyle name="40% - 着色 4 2 2 3" xfId="609"/>
    <cellStyle name="40% - 着色 4 2 3" xfId="610"/>
    <cellStyle name="40% - 着色 4 2 3 2" xfId="611"/>
    <cellStyle name="40% - 着色 4 2 4" xfId="612"/>
    <cellStyle name="40% - 着色 4 3" xfId="613"/>
    <cellStyle name="40% - 着色 4 3 2" xfId="614"/>
    <cellStyle name="40% - 着色 4 3 2 2" xfId="615"/>
    <cellStyle name="40% - 着色 4 3 3" xfId="616"/>
    <cellStyle name="40% - 着色 4 4" xfId="617"/>
    <cellStyle name="40% - 着色 4 4 2" xfId="618"/>
    <cellStyle name="40% - 着色 4 4 2 2" xfId="619"/>
    <cellStyle name="40% - 着色 4 4 3" xfId="620"/>
    <cellStyle name="40% - 着色 4 5" xfId="621"/>
    <cellStyle name="40% - 着色 4 5 2" xfId="622"/>
    <cellStyle name="40% - 着色 4 6" xfId="623"/>
    <cellStyle name="40% - 着色 5 2" xfId="624"/>
    <cellStyle name="40% - 着色 5 2 2" xfId="625"/>
    <cellStyle name="40% - 着色 5 2 2 2" xfId="626"/>
    <cellStyle name="40% - 着色 5 2 2 2 2" xfId="627"/>
    <cellStyle name="40% - 着色 5 2 2 3" xfId="628"/>
    <cellStyle name="40% - 着色 5 2 3" xfId="629"/>
    <cellStyle name="40% - 着色 5 2 3 2" xfId="630"/>
    <cellStyle name="40% - 着色 5 2 4" xfId="631"/>
    <cellStyle name="40% - 着色 5 3" xfId="632"/>
    <cellStyle name="40% - 着色 5 3 2" xfId="633"/>
    <cellStyle name="40% - 着色 5 3 2 2" xfId="634"/>
    <cellStyle name="40% - 着色 5 3 3" xfId="635"/>
    <cellStyle name="40% - 着色 5 4" xfId="636"/>
    <cellStyle name="40% - 着色 5 4 2" xfId="637"/>
    <cellStyle name="40% - 着色 5 4 2 2" xfId="638"/>
    <cellStyle name="40% - 着色 5 4 3" xfId="639"/>
    <cellStyle name="40% - 着色 5 5" xfId="640"/>
    <cellStyle name="40% - 着色 5 5 2" xfId="641"/>
    <cellStyle name="40% - 着色 5 6" xfId="642"/>
    <cellStyle name="40% - 着色 6 2" xfId="643"/>
    <cellStyle name="40% - 着色 6 2 2" xfId="644"/>
    <cellStyle name="40% - 着色 6 2 2 2" xfId="645"/>
    <cellStyle name="40% - 着色 6 2 2 2 2" xfId="646"/>
    <cellStyle name="40% - 着色 6 2 2 3" xfId="647"/>
    <cellStyle name="40% - 着色 6 2 3" xfId="648"/>
    <cellStyle name="40% - 着色 6 2 3 2" xfId="649"/>
    <cellStyle name="40% - 着色 6 2 4" xfId="650"/>
    <cellStyle name="40% - 着色 6 3" xfId="651"/>
    <cellStyle name="40% - 着色 6 3 2" xfId="652"/>
    <cellStyle name="40% - 着色 6 3 2 2" xfId="653"/>
    <cellStyle name="40% - 着色 6 3 3" xfId="654"/>
    <cellStyle name="40% - 着色 6 4" xfId="655"/>
    <cellStyle name="40% - 着色 6 4 2" xfId="656"/>
    <cellStyle name="40% - 着色 6 4 2 2" xfId="657"/>
    <cellStyle name="40% - 着色 6 4 3" xfId="658"/>
    <cellStyle name="40% - 着色 6 5" xfId="659"/>
    <cellStyle name="40% - 着色 6 5 2" xfId="660"/>
    <cellStyle name="40% - 着色 6 6" xfId="661"/>
    <cellStyle name="60% - 强调文字颜色 1 2" xfId="662"/>
    <cellStyle name="60% - 强调文字颜色 1 2 2" xfId="663"/>
    <cellStyle name="60% - 强调文字颜色 1 2 2 2" xfId="664"/>
    <cellStyle name="60% - 强调文字颜色 1 2 3" xfId="665"/>
    <cellStyle name="60% - 强调文字颜色 1 3" xfId="666"/>
    <cellStyle name="60% - 强调文字颜色 1 3 2" xfId="667"/>
    <cellStyle name="60% - 强调文字颜色 1 3 2 2" xfId="668"/>
    <cellStyle name="60% - 强调文字颜色 1 3 3" xfId="669"/>
    <cellStyle name="60% - 强调文字颜色 1 4" xfId="670"/>
    <cellStyle name="60% - 强调文字颜色 1 4 2" xfId="671"/>
    <cellStyle name="60% - 强调文字颜色 1 4 2 2" xfId="672"/>
    <cellStyle name="60% - 强调文字颜色 1 4 3" xfId="673"/>
    <cellStyle name="60% - 强调文字颜色 1 5" xfId="674"/>
    <cellStyle name="60% - 强调文字颜色 1 5 2" xfId="675"/>
    <cellStyle name="60% - 强调文字颜色 1 6" xfId="676"/>
    <cellStyle name="60% - 强调文字颜色 1 6 2" xfId="677"/>
    <cellStyle name="60% - 强调文字颜色 1 7" xfId="678"/>
    <cellStyle name="60% - 强调文字颜色 1 7 2" xfId="679"/>
    <cellStyle name="60% - 强调文字颜色 2 2" xfId="680"/>
    <cellStyle name="60% - 强调文字颜色 2 2 2" xfId="681"/>
    <cellStyle name="60% - 强调文字颜色 2 2 2 2" xfId="682"/>
    <cellStyle name="60% - 强调文字颜色 2 2 3" xfId="683"/>
    <cellStyle name="60% - 强调文字颜色 2 3" xfId="684"/>
    <cellStyle name="60% - 强调文字颜色 2 3 2" xfId="685"/>
    <cellStyle name="60% - 强调文字颜色 2 3 2 2" xfId="686"/>
    <cellStyle name="60% - 强调文字颜色 2 3 3" xfId="687"/>
    <cellStyle name="60% - 强调文字颜色 2 4" xfId="688"/>
    <cellStyle name="60% - 强调文字颜色 2 4 2" xfId="689"/>
    <cellStyle name="60% - 强调文字颜色 2 4 2 2" xfId="690"/>
    <cellStyle name="60% - 强调文字颜色 2 4 3" xfId="691"/>
    <cellStyle name="60% - 强调文字颜色 2 5" xfId="692"/>
    <cellStyle name="60% - 强调文字颜色 2 5 2" xfId="693"/>
    <cellStyle name="60% - 强调文字颜色 2 6" xfId="694"/>
    <cellStyle name="60% - 强调文字颜色 2 6 2" xfId="695"/>
    <cellStyle name="60% - 强调文字颜色 2 7" xfId="696"/>
    <cellStyle name="60% - 强调文字颜色 2 7 2" xfId="697"/>
    <cellStyle name="60% - 强调文字颜色 3 2" xfId="698"/>
    <cellStyle name="60% - 强调文字颜色 3 2 2" xfId="699"/>
    <cellStyle name="60% - 强调文字颜色 3 2 2 2" xfId="700"/>
    <cellStyle name="60% - 强调文字颜色 3 2 3" xfId="701"/>
    <cellStyle name="60% - 强调文字颜色 3 3" xfId="702"/>
    <cellStyle name="60% - 强调文字颜色 3 3 2" xfId="703"/>
    <cellStyle name="60% - 强调文字颜色 3 3 2 2" xfId="704"/>
    <cellStyle name="60% - 强调文字颜色 3 3 3" xfId="705"/>
    <cellStyle name="60% - 强调文字颜色 3 4" xfId="706"/>
    <cellStyle name="60% - 强调文字颜色 3 4 2" xfId="707"/>
    <cellStyle name="60% - 强调文字颜色 3 4 2 2" xfId="708"/>
    <cellStyle name="60% - 强调文字颜色 3 4 3" xfId="709"/>
    <cellStyle name="60% - 强调文字颜色 3 5" xfId="710"/>
    <cellStyle name="60% - 强调文字颜色 3 5 2" xfId="711"/>
    <cellStyle name="60% - 强调文字颜色 3 6" xfId="712"/>
    <cellStyle name="60% - 强调文字颜色 3 6 2" xfId="713"/>
    <cellStyle name="60% - 强调文字颜色 3 7" xfId="714"/>
    <cellStyle name="60% - 强调文字颜色 3 7 2" xfId="715"/>
    <cellStyle name="60% - 强调文字颜色 4 2" xfId="716"/>
    <cellStyle name="60% - 强调文字颜色 4 2 2" xfId="717"/>
    <cellStyle name="60% - 强调文字颜色 4 2 2 2" xfId="718"/>
    <cellStyle name="60% - 强调文字颜色 4 2 3" xfId="719"/>
    <cellStyle name="60% - 强调文字颜色 4 3" xfId="720"/>
    <cellStyle name="60% - 强调文字颜色 4 3 2" xfId="721"/>
    <cellStyle name="60% - 强调文字颜色 4 3 2 2" xfId="722"/>
    <cellStyle name="60% - 强调文字颜色 4 3 3" xfId="723"/>
    <cellStyle name="60% - 强调文字颜色 4 4" xfId="724"/>
    <cellStyle name="60% - 强调文字颜色 4 4 2" xfId="725"/>
    <cellStyle name="60% - 强调文字颜色 4 4 2 2" xfId="726"/>
    <cellStyle name="60% - 强调文字颜色 4 4 3" xfId="727"/>
    <cellStyle name="60% - 强调文字颜色 4 5" xfId="728"/>
    <cellStyle name="60% - 强调文字颜色 4 5 2" xfId="729"/>
    <cellStyle name="60% - 强调文字颜色 4 6" xfId="730"/>
    <cellStyle name="60% - 强调文字颜色 4 6 2" xfId="731"/>
    <cellStyle name="60% - 强调文字颜色 4 7" xfId="732"/>
    <cellStyle name="60% - 强调文字颜色 4 7 2" xfId="733"/>
    <cellStyle name="60% - 强调文字颜色 5 2" xfId="734"/>
    <cellStyle name="60% - 强调文字颜色 5 2 2" xfId="735"/>
    <cellStyle name="60% - 强调文字颜色 5 2 2 2" xfId="736"/>
    <cellStyle name="60% - 强调文字颜色 5 2 3" xfId="737"/>
    <cellStyle name="60% - 强调文字颜色 5 3" xfId="738"/>
    <cellStyle name="60% - 强调文字颜色 5 3 2" xfId="739"/>
    <cellStyle name="60% - 强调文字颜色 5 3 2 2" xfId="740"/>
    <cellStyle name="60% - 强调文字颜色 5 3 3" xfId="741"/>
    <cellStyle name="60% - 强调文字颜色 5 4" xfId="742"/>
    <cellStyle name="60% - 强调文字颜色 5 4 2" xfId="743"/>
    <cellStyle name="60% - 强调文字颜色 5 4 2 2" xfId="744"/>
    <cellStyle name="60% - 强调文字颜色 5 4 3" xfId="745"/>
    <cellStyle name="60% - 强调文字颜色 5 5" xfId="746"/>
    <cellStyle name="60% - 强调文字颜色 5 5 2" xfId="747"/>
    <cellStyle name="60% - 强调文字颜色 5 6" xfId="748"/>
    <cellStyle name="60% - 强调文字颜色 5 6 2" xfId="749"/>
    <cellStyle name="60% - 强调文字颜色 5 7" xfId="750"/>
    <cellStyle name="60% - 强调文字颜色 5 7 2" xfId="751"/>
    <cellStyle name="60% - 强调文字颜色 6 2" xfId="752"/>
    <cellStyle name="60% - 强调文字颜色 6 2 2" xfId="753"/>
    <cellStyle name="60% - 强调文字颜色 6 2 2 2" xfId="754"/>
    <cellStyle name="60% - 强调文字颜色 6 2 3" xfId="755"/>
    <cellStyle name="60% - 强调文字颜色 6 3" xfId="756"/>
    <cellStyle name="60% - 强调文字颜色 6 3 2" xfId="757"/>
    <cellStyle name="60% - 强调文字颜色 6 3 2 2" xfId="758"/>
    <cellStyle name="60% - 强调文字颜色 6 3 3" xfId="759"/>
    <cellStyle name="60% - 强调文字颜色 6 4" xfId="760"/>
    <cellStyle name="60% - 强调文字颜色 6 4 2" xfId="761"/>
    <cellStyle name="60% - 强调文字颜色 6 4 2 2" xfId="762"/>
    <cellStyle name="60% - 强调文字颜色 6 4 3" xfId="763"/>
    <cellStyle name="60% - 强调文字颜色 6 5" xfId="764"/>
    <cellStyle name="60% - 强调文字颜色 6 5 2" xfId="765"/>
    <cellStyle name="60% - 强调文字颜色 6 6" xfId="766"/>
    <cellStyle name="60% - 强调文字颜色 6 6 2" xfId="767"/>
    <cellStyle name="60% - 强调文字颜色 6 7" xfId="768"/>
    <cellStyle name="60% - 强调文字颜色 6 7 2" xfId="769"/>
    <cellStyle name="60% - 着色 1 2" xfId="770"/>
    <cellStyle name="60% - 着色 1 2 2" xfId="771"/>
    <cellStyle name="60% - 着色 1 2 2 2" xfId="772"/>
    <cellStyle name="60% - 着色 1 2 3" xfId="773"/>
    <cellStyle name="60% - 着色 1 3" xfId="774"/>
    <cellStyle name="60% - 着色 1 3 2" xfId="775"/>
    <cellStyle name="60% - 着色 1 4" xfId="776"/>
    <cellStyle name="60% - 着色 1 4 2" xfId="777"/>
    <cellStyle name="60% - 着色 1 5" xfId="778"/>
    <cellStyle name="60% - 着色 2 2" xfId="779"/>
    <cellStyle name="60% - 着色 2 2 2" xfId="780"/>
    <cellStyle name="60% - 着色 2 2 2 2" xfId="781"/>
    <cellStyle name="60% - 着色 2 2 3" xfId="782"/>
    <cellStyle name="60% - 着色 2 3" xfId="783"/>
    <cellStyle name="60% - 着色 2 3 2" xfId="784"/>
    <cellStyle name="60% - 着色 2 4" xfId="785"/>
    <cellStyle name="60% - 着色 2 4 2" xfId="786"/>
    <cellStyle name="60% - 着色 2 5" xfId="787"/>
    <cellStyle name="60% - 着色 3 2" xfId="788"/>
    <cellStyle name="60% - 着色 3 2 2" xfId="789"/>
    <cellStyle name="60% - 着色 3 2 2 2" xfId="790"/>
    <cellStyle name="60% - 着色 3 2 3" xfId="791"/>
    <cellStyle name="60% - 着色 3 3" xfId="792"/>
    <cellStyle name="60% - 着色 3 3 2" xfId="793"/>
    <cellStyle name="60% - 着色 3 4" xfId="794"/>
    <cellStyle name="60% - 着色 3 4 2" xfId="795"/>
    <cellStyle name="60% - 着色 3 5" xfId="796"/>
    <cellStyle name="60% - 着色 4 2" xfId="797"/>
    <cellStyle name="60% - 着色 4 2 2" xfId="798"/>
    <cellStyle name="60% - 着色 4 2 2 2" xfId="799"/>
    <cellStyle name="60% - 着色 4 2 3" xfId="800"/>
    <cellStyle name="60% - 着色 4 3" xfId="801"/>
    <cellStyle name="60% - 着色 4 3 2" xfId="802"/>
    <cellStyle name="60% - 着色 4 4" xfId="803"/>
    <cellStyle name="60% - 着色 4 4 2" xfId="804"/>
    <cellStyle name="60% - 着色 4 5" xfId="805"/>
    <cellStyle name="60% - 着色 5 2" xfId="806"/>
    <cellStyle name="60% - 着色 5 2 2" xfId="807"/>
    <cellStyle name="60% - 着色 5 2 2 2" xfId="808"/>
    <cellStyle name="60% - 着色 5 2 3" xfId="809"/>
    <cellStyle name="60% - 着色 5 3" xfId="810"/>
    <cellStyle name="60% - 着色 5 3 2" xfId="811"/>
    <cellStyle name="60% - 着色 5 4" xfId="812"/>
    <cellStyle name="60% - 着色 5 4 2" xfId="813"/>
    <cellStyle name="60% - 着色 5 5" xfId="814"/>
    <cellStyle name="60% - 着色 6 2" xfId="815"/>
    <cellStyle name="60% - 着色 6 2 2" xfId="816"/>
    <cellStyle name="60% - 着色 6 2 2 2" xfId="817"/>
    <cellStyle name="60% - 着色 6 2 3" xfId="818"/>
    <cellStyle name="60% - 着色 6 3" xfId="819"/>
    <cellStyle name="60% - 着色 6 3 2" xfId="820"/>
    <cellStyle name="60% - 着色 6 4" xfId="821"/>
    <cellStyle name="60% - 着色 6 4 2" xfId="822"/>
    <cellStyle name="60% - 着色 6 5" xfId="823"/>
    <cellStyle name="RowLevel_1" xfId="824"/>
    <cellStyle name="百分比 2" xfId="825"/>
    <cellStyle name="百分比 2 2" xfId="826"/>
    <cellStyle name="百分比 2 2 2" xfId="827"/>
    <cellStyle name="百分比 2 2 2 2" xfId="828"/>
    <cellStyle name="百分比 2 2 3" xfId="829"/>
    <cellStyle name="百分比 2 3" xfId="830"/>
    <cellStyle name="百分比 2 3 2" xfId="831"/>
    <cellStyle name="百分比 2 4" xfId="832"/>
    <cellStyle name="百分比 2 4 2" xfId="833"/>
    <cellStyle name="百分比 2 5" xfId="834"/>
    <cellStyle name="百分比 2 5 2" xfId="835"/>
    <cellStyle name="百分比 2 5 2 2" xfId="836"/>
    <cellStyle name="百分比 2 5 3" xfId="837"/>
    <cellStyle name="百分比 2 6" xfId="838"/>
    <cellStyle name="百分比 2 6 2" xfId="839"/>
    <cellStyle name="百分比 2 7" xfId="840"/>
    <cellStyle name="百分比 3" xfId="841"/>
    <cellStyle name="百分比 3 2" xfId="842"/>
    <cellStyle name="百分比 3 2 2" xfId="843"/>
    <cellStyle name="百分比 3 2 2 2" xfId="844"/>
    <cellStyle name="百分比 3 2 3" xfId="845"/>
    <cellStyle name="百分比 3 3" xfId="846"/>
    <cellStyle name="百分比 3 3 2" xfId="847"/>
    <cellStyle name="百分比 3 4" xfId="848"/>
    <cellStyle name="百分比 3 4 2" xfId="849"/>
    <cellStyle name="百分比 3 5" xfId="850"/>
    <cellStyle name="百分比 3 5 2" xfId="851"/>
    <cellStyle name="百分比 3 6" xfId="852"/>
    <cellStyle name="百分比 4" xfId="853"/>
    <cellStyle name="百分比 4 2" xfId="854"/>
    <cellStyle name="百分比 4 2 2" xfId="855"/>
    <cellStyle name="百分比 4 3" xfId="856"/>
    <cellStyle name="百分比 5" xfId="857"/>
    <cellStyle name="百分比 5 2" xfId="858"/>
    <cellStyle name="百分比 5 2 2" xfId="859"/>
    <cellStyle name="百分比 5 3" xfId="860"/>
    <cellStyle name="百分比 6" xfId="861"/>
    <cellStyle name="百分比 6 2" xfId="862"/>
    <cellStyle name="百分比 6 2 2" xfId="863"/>
    <cellStyle name="百分比 6 3" xfId="864"/>
    <cellStyle name="百分比 7" xfId="865"/>
    <cellStyle name="百分比 7 2" xfId="866"/>
    <cellStyle name="百分比 8" xfId="867"/>
    <cellStyle name="标题 1 2" xfId="868"/>
    <cellStyle name="标题 1 2 2" xfId="869"/>
    <cellStyle name="标题 1 2 2 2" xfId="870"/>
    <cellStyle name="标题 1 2 3" xfId="871"/>
    <cellStyle name="标题 1 3" xfId="872"/>
    <cellStyle name="标题 1 3 2" xfId="873"/>
    <cellStyle name="标题 1 3 2 2" xfId="874"/>
    <cellStyle name="标题 1 3 3" xfId="875"/>
    <cellStyle name="标题 1 4" xfId="876"/>
    <cellStyle name="标题 1 4 2" xfId="877"/>
    <cellStyle name="标题 1 4 2 2" xfId="878"/>
    <cellStyle name="标题 1 4 3" xfId="879"/>
    <cellStyle name="标题 1 5" xfId="880"/>
    <cellStyle name="标题 1 5 2" xfId="881"/>
    <cellStyle name="标题 1 6" xfId="882"/>
    <cellStyle name="标题 1 6 2" xfId="883"/>
    <cellStyle name="标题 2 2" xfId="884"/>
    <cellStyle name="标题 2 2 2" xfId="885"/>
    <cellStyle name="标题 2 2 2 2" xfId="886"/>
    <cellStyle name="标题 2 2 3" xfId="887"/>
    <cellStyle name="标题 2 3" xfId="888"/>
    <cellStyle name="标题 2 3 2" xfId="889"/>
    <cellStyle name="标题 2 3 2 2" xfId="890"/>
    <cellStyle name="标题 2 3 3" xfId="891"/>
    <cellStyle name="标题 2 4" xfId="892"/>
    <cellStyle name="标题 2 4 2" xfId="893"/>
    <cellStyle name="标题 2 4 2 2" xfId="894"/>
    <cellStyle name="标题 2 4 3" xfId="895"/>
    <cellStyle name="标题 2 5" xfId="896"/>
    <cellStyle name="标题 2 5 2" xfId="897"/>
    <cellStyle name="标题 2 6" xfId="898"/>
    <cellStyle name="标题 2 6 2" xfId="899"/>
    <cellStyle name="标题 3 2" xfId="900"/>
    <cellStyle name="标题 3 2 2" xfId="901"/>
    <cellStyle name="标题 3 2 2 2" xfId="902"/>
    <cellStyle name="标题 3 2 3" xfId="903"/>
    <cellStyle name="标题 3 3" xfId="904"/>
    <cellStyle name="标题 3 3 2" xfId="905"/>
    <cellStyle name="标题 3 3 2 2" xfId="906"/>
    <cellStyle name="标题 3 3 3" xfId="907"/>
    <cellStyle name="标题 3 4" xfId="908"/>
    <cellStyle name="标题 3 4 2" xfId="909"/>
    <cellStyle name="标题 3 4 2 2" xfId="910"/>
    <cellStyle name="标题 3 4 3" xfId="911"/>
    <cellStyle name="标题 3 5" xfId="912"/>
    <cellStyle name="标题 3 5 2" xfId="913"/>
    <cellStyle name="标题 3 6" xfId="914"/>
    <cellStyle name="标题 3 6 2" xfId="915"/>
    <cellStyle name="标题 4 2" xfId="916"/>
    <cellStyle name="标题 4 2 2" xfId="917"/>
    <cellStyle name="标题 4 2 2 2" xfId="918"/>
    <cellStyle name="标题 4 2 3" xfId="919"/>
    <cellStyle name="标题 4 3" xfId="920"/>
    <cellStyle name="标题 4 3 2" xfId="921"/>
    <cellStyle name="标题 4 3 2 2" xfId="922"/>
    <cellStyle name="标题 4 3 3" xfId="923"/>
    <cellStyle name="标题 4 4" xfId="924"/>
    <cellStyle name="标题 4 4 2" xfId="925"/>
    <cellStyle name="标题 4 4 2 2" xfId="926"/>
    <cellStyle name="标题 4 4 3" xfId="927"/>
    <cellStyle name="标题 4 5" xfId="928"/>
    <cellStyle name="标题 4 5 2" xfId="929"/>
    <cellStyle name="标题 4 6" xfId="930"/>
    <cellStyle name="标题 4 6 2" xfId="931"/>
    <cellStyle name="标题 5" xfId="932"/>
    <cellStyle name="标题 5 2" xfId="933"/>
    <cellStyle name="标题 5 2 2" xfId="934"/>
    <cellStyle name="标题 5 3" xfId="935"/>
    <cellStyle name="标题 6" xfId="936"/>
    <cellStyle name="标题 6 2" xfId="937"/>
    <cellStyle name="标题 6 2 2" xfId="938"/>
    <cellStyle name="标题 6 3" xfId="939"/>
    <cellStyle name="标题 7" xfId="940"/>
    <cellStyle name="标题 7 2" xfId="941"/>
    <cellStyle name="标题 7 2 2" xfId="942"/>
    <cellStyle name="标题 7 3" xfId="943"/>
    <cellStyle name="标题 8" xfId="944"/>
    <cellStyle name="标题 8 2" xfId="945"/>
    <cellStyle name="标题 9" xfId="946"/>
    <cellStyle name="标题 9 2" xfId="947"/>
    <cellStyle name="差 2" xfId="948"/>
    <cellStyle name="差 2 2" xfId="949"/>
    <cellStyle name="差 2 2 2" xfId="950"/>
    <cellStyle name="差 2 3" xfId="951"/>
    <cellStyle name="差 3" xfId="952"/>
    <cellStyle name="差 3 2" xfId="953"/>
    <cellStyle name="差 3 2 2" xfId="954"/>
    <cellStyle name="差 3 3" xfId="955"/>
    <cellStyle name="差 4" xfId="956"/>
    <cellStyle name="差 4 2" xfId="957"/>
    <cellStyle name="差 4 2 2" xfId="958"/>
    <cellStyle name="差 4 3" xfId="959"/>
    <cellStyle name="差 5" xfId="960"/>
    <cellStyle name="差 5 2" xfId="961"/>
    <cellStyle name="差 6" xfId="962"/>
    <cellStyle name="差 6 2" xfId="963"/>
    <cellStyle name="差 7" xfId="964"/>
    <cellStyle name="差 7 2" xfId="965"/>
    <cellStyle name="差_2013见习培训经费表下半年(chen)2014年9月" xfId="966"/>
    <cellStyle name="差_2013见习培训经费表下半年(chen)2014年9月 2" xfId="967"/>
    <cellStyle name="差_2013见习培训经费表下半年(chen)2014年9月 2 2" xfId="968"/>
    <cellStyle name="差_2013见习培训经费表下半年(chen)2014年9月 2 2 2" xfId="969"/>
    <cellStyle name="差_2013见习培训经费表下半年(chen)2014年9月 2 3" xfId="970"/>
    <cellStyle name="差_2013见习培训经费表下半年(chen)2014年9月 3" xfId="971"/>
    <cellStyle name="差_2013见习培训经费表下半年(chen)2014年9月 3 2" xfId="972"/>
    <cellStyle name="差_2013见习培训经费表下半年(chen)2014年9月 4" xfId="973"/>
    <cellStyle name="差_2013见习培训经费表下半年(chen)2014年9月 4 2" xfId="974"/>
    <cellStyle name="差_2013见习培训经费表下半年(chen)2014年9月 5" xfId="975"/>
    <cellStyle name="差_2014年聘用学校导师带教经费表" xfId="976"/>
    <cellStyle name="差_2014年聘用学校导师带教经费表 2" xfId="977"/>
    <cellStyle name="差_2014年聘用学校导师带教经费表 2 2" xfId="978"/>
    <cellStyle name="差_2014年聘用学校导师带教经费表 2 2 2" xfId="979"/>
    <cellStyle name="差_2014年聘用学校导师带教经费表 2 3" xfId="980"/>
    <cellStyle name="差_2014年聘用学校导师带教经费表 3" xfId="981"/>
    <cellStyle name="差_2014年聘用学校导师带教经费表 3 2" xfId="982"/>
    <cellStyle name="差_2014年聘用学校导师带教经费表 3 2 2" xfId="983"/>
    <cellStyle name="差_2014年聘用学校导师带教经费表 3 3" xfId="984"/>
    <cellStyle name="差_2014年聘用学校导师带教经费表 4" xfId="985"/>
    <cellStyle name="差_2014年聘用学校导师带教经费表 4 2" xfId="986"/>
    <cellStyle name="差_2014年聘用学校导师带教经费表 4 2 2" xfId="987"/>
    <cellStyle name="差_2014年聘用学校导师带教经费表 4 3" xfId="988"/>
    <cellStyle name="差_2014年聘用学校导师带教经费表 5" xfId="989"/>
    <cellStyle name="差_2014年聘用学校导师带教经费表 5 2" xfId="990"/>
    <cellStyle name="差_2014年聘用学校导师带教经费表 6" xfId="991"/>
    <cellStyle name="差_2014年聘用学校导师带教经费表 6 2" xfId="992"/>
    <cellStyle name="差_2014年聘用学校导师带教经费表 7" xfId="993"/>
    <cellStyle name="差_2014年终考核奖完整版-给核算中心" xfId="994"/>
    <cellStyle name="差_2014年终考核奖完整版-给核算中心 2" xfId="995"/>
    <cellStyle name="差_2014年终考核奖完整版-给核算中心 2 2" xfId="996"/>
    <cellStyle name="差_2014年终考核奖完整版-给核算中心 2 2 2" xfId="997"/>
    <cellStyle name="差_2014年终考核奖完整版-给核算中心 2 3" xfId="998"/>
    <cellStyle name="差_2014年终考核奖完整版-给核算中心 3" xfId="999"/>
    <cellStyle name="差_2014年终考核奖完整版-给核算中心 3 2" xfId="1000"/>
    <cellStyle name="差_2014年终考核奖完整版-给核算中心 4" xfId="1001"/>
    <cellStyle name="差_2014年终考核奖完整版-给核算中心 4 2" xfId="1002"/>
    <cellStyle name="差_2014年终考核奖完整版-给核算中心 5" xfId="1003"/>
    <cellStyle name="差_2014优秀学校奖励测算表" xfId="1004"/>
    <cellStyle name="差_2014优秀学校奖励测算表 2" xfId="1005"/>
    <cellStyle name="差_2014优秀学校奖励测算表 2 2" xfId="1006"/>
    <cellStyle name="差_2014优秀学校奖励测算表 2 2 2" xfId="1007"/>
    <cellStyle name="差_2014优秀学校奖励测算表 2 3" xfId="1008"/>
    <cellStyle name="差_2014优秀学校奖励测算表 3" xfId="1009"/>
    <cellStyle name="差_2014优秀学校奖励测算表 3 2" xfId="1010"/>
    <cellStyle name="差_2014优秀学校奖励测算表 4" xfId="1011"/>
    <cellStyle name="差_2014优秀学校奖励测算表 4 2" xfId="1012"/>
    <cellStyle name="差_2014优秀学校奖励测算表 5" xfId="1013"/>
    <cellStyle name="差_2015年年终奖预发表-给核算中心" xfId="1014"/>
    <cellStyle name="差_2015年年终奖预发表-给核算中心 2" xfId="1015"/>
    <cellStyle name="差_2015年年终奖预发表-给核算中心 2 2" xfId="1016"/>
    <cellStyle name="差_2015年年终奖预发表-给核算中心 2 2 2" xfId="1017"/>
    <cellStyle name="差_2015年年终奖预发表-给核算中心 2 3" xfId="1018"/>
    <cellStyle name="差_2015年年终奖预发表-给核算中心 3" xfId="1019"/>
    <cellStyle name="差_2015年年终奖预发表-给核算中心 3 2" xfId="1020"/>
    <cellStyle name="差_2015年年终奖预发表-给核算中心 4" xfId="1021"/>
    <cellStyle name="差_2015年年终奖预发表-给核算中心 4 2" xfId="1022"/>
    <cellStyle name="差_2015年年终奖预发表-给核算中心 5" xfId="1023"/>
    <cellStyle name="差_2016年3月校长职级工资（核算中心）" xfId="1024"/>
    <cellStyle name="差_2016年3月校长职级工资（核算中心） 2" xfId="1025"/>
    <cellStyle name="差_2016年3月校长职级工资（核算中心） 2 2" xfId="1026"/>
    <cellStyle name="差_2016年3月校长职级工资（核算中心） 2 2 2" xfId="1027"/>
    <cellStyle name="差_2016年3月校长职级工资（核算中心） 2 3" xfId="1028"/>
    <cellStyle name="差_2016年3月校长职级工资（核算中心） 3" xfId="1029"/>
    <cellStyle name="差_2016年3月校长职级工资（核算中心） 3 2" xfId="1030"/>
    <cellStyle name="差_2016年3月校长职级工资（核算中心） 4" xfId="1031"/>
    <cellStyle name="差_2016年3月校长职级工资（核算中心） 4 2" xfId="1032"/>
    <cellStyle name="差_2016年3月校长职级工资（核算中心） 5" xfId="1033"/>
    <cellStyle name="差_2016统计人数汇总表（完稿版）9.12" xfId="1034"/>
    <cellStyle name="差_2016统计人数汇总表（完稿版）9.12 2" xfId="1035"/>
    <cellStyle name="差_2016统计人数汇总表（完稿版）9.12 2 2" xfId="1036"/>
    <cellStyle name="差_2016统计人数汇总表（完稿版）9.12 2 2 2" xfId="1037"/>
    <cellStyle name="差_2016统计人数汇总表（完稿版）9.12 2 3" xfId="1038"/>
    <cellStyle name="差_2016统计人数汇总表（完稿版）9.12 3" xfId="1039"/>
    <cellStyle name="差_2016统计人数汇总表（完稿版）9.12 3 2" xfId="1040"/>
    <cellStyle name="差_2016统计人数汇总表（完稿版）9.12 4" xfId="1041"/>
    <cellStyle name="差_2016统计人数汇总表（完稿版）9.12 4 2" xfId="1042"/>
    <cellStyle name="差_2016统计人数汇总表（完稿版）9.12 5" xfId="1043"/>
    <cellStyle name="差_A0汇总表（报计财科：项目津贴发放）" xfId="1044"/>
    <cellStyle name="差_A0汇总表（报计财科：项目津贴发放） 2" xfId="1045"/>
    <cellStyle name="差_A0汇总表（报计财科：项目津贴发放） 2 2" xfId="1046"/>
    <cellStyle name="差_A0汇总表（报计财科：项目津贴发放） 2 2 2" xfId="1047"/>
    <cellStyle name="差_A0汇总表（报计财科：项目津贴发放） 2 3" xfId="1048"/>
    <cellStyle name="差_A0汇总表（报计财科：项目津贴发放） 3" xfId="1049"/>
    <cellStyle name="差_A0汇总表（报计财科：项目津贴发放） 3 2" xfId="1050"/>
    <cellStyle name="差_A0汇总表（报计财科：项目津贴发放） 4" xfId="1051"/>
    <cellStyle name="差_A0汇总表（报计财科：项目津贴发放） 4 2" xfId="1052"/>
    <cellStyle name="差_A0汇总表（报计财科：项目津贴发放） 5" xfId="1053"/>
    <cellStyle name="差_统筹-校长（暂估）" xfId="1054"/>
    <cellStyle name="差_统筹-校长（暂估） 2" xfId="1055"/>
    <cellStyle name="差_统筹-校长（暂估） 2 2" xfId="1056"/>
    <cellStyle name="差_统筹-校长（暂估） 2 2 2" xfId="1057"/>
    <cellStyle name="差_统筹-校长（暂估） 2 3" xfId="1058"/>
    <cellStyle name="差_统筹-校长（暂估） 3" xfId="1059"/>
    <cellStyle name="差_统筹-校长（暂估） 3 2" xfId="1060"/>
    <cellStyle name="差_统筹-校长（暂估） 4" xfId="1061"/>
    <cellStyle name="差_统筹-校长（暂估） 4 2" xfId="1062"/>
    <cellStyle name="差_统筹-校长（暂估） 5" xfId="1063"/>
    <cellStyle name="差_校长、书记2015年增量部分发放清单" xfId="1064"/>
    <cellStyle name="差_校长、书记2015年增量部分发放清单 2" xfId="1065"/>
    <cellStyle name="差_校长、书记2015年增量部分发放清单 2 2" xfId="1066"/>
    <cellStyle name="差_校长、书记2015年增量部分发放清单 2 2 2" xfId="1067"/>
    <cellStyle name="差_校长、书记2015年增量部分发放清单 2 3" xfId="1068"/>
    <cellStyle name="差_校长、书记2015年增量部分发放清单 3" xfId="1069"/>
    <cellStyle name="差_校长、书记2015年增量部分发放清单 3 2" xfId="1070"/>
    <cellStyle name="差_校长、书记2015年增量部分发放清单 4" xfId="1071"/>
    <cellStyle name="差_校长、书记2015年增量部分发放清单 4 2" xfId="1072"/>
    <cellStyle name="差_校长、书记2015年增量部分发放清单 5" xfId="1073"/>
    <cellStyle name="差_校长职级、亚信会奖励、教师节奖励镇管" xfId="1074"/>
    <cellStyle name="差_校长职级、亚信会奖励、教师节奖励镇管 2" xfId="1075"/>
    <cellStyle name="差_校长职级、亚信会奖励、教师节奖励镇管 2 2" xfId="1076"/>
    <cellStyle name="差_校长职级、亚信会奖励、教师节奖励镇管 2 2 2" xfId="1077"/>
    <cellStyle name="差_校长职级、亚信会奖励、教师节奖励镇管 2 3" xfId="1078"/>
    <cellStyle name="差_校长职级、亚信会奖励、教师节奖励镇管 3" xfId="1079"/>
    <cellStyle name="差_校长职级、亚信会奖励、教师节奖励镇管 3 2" xfId="1080"/>
    <cellStyle name="差_校长职级、亚信会奖励、教师节奖励镇管 4" xfId="1081"/>
    <cellStyle name="差_校长职级、亚信会奖励、教师节奖励镇管 4 2" xfId="1082"/>
    <cellStyle name="差_校长职级、亚信会奖励、教师节奖励镇管 5" xfId="1083"/>
    <cellStyle name="差_镇管汇总" xfId="1084"/>
    <cellStyle name="差_镇管汇总 2" xfId="1085"/>
    <cellStyle name="差_镇管汇总 2 2" xfId="1086"/>
    <cellStyle name="差_镇管汇总 2 2 2" xfId="1087"/>
    <cellStyle name="差_镇管汇总 2 3" xfId="1088"/>
    <cellStyle name="差_镇管汇总 3" xfId="1089"/>
    <cellStyle name="差_镇管汇总 3 2" xfId="1090"/>
    <cellStyle name="差_镇管汇总 4" xfId="1091"/>
    <cellStyle name="差_镇管汇总 4 2" xfId="1092"/>
    <cellStyle name="差_镇管汇总 5" xfId="1093"/>
    <cellStyle name="常规" xfId="0" builtinId="0"/>
    <cellStyle name="常规 10" xfId="1094"/>
    <cellStyle name="常规 10 2" xfId="1095"/>
    <cellStyle name="常规 10 2 2" xfId="1096"/>
    <cellStyle name="常规 10 3" xfId="1097"/>
    <cellStyle name="常规 10 4" xfId="1098"/>
    <cellStyle name="常规 100" xfId="1"/>
    <cellStyle name="常规 107" xfId="2000"/>
    <cellStyle name="常规 11" xfId="1099"/>
    <cellStyle name="常规 11 2" xfId="1100"/>
    <cellStyle name="常规 11 2 2" xfId="1101"/>
    <cellStyle name="常规 11 3" xfId="1102"/>
    <cellStyle name="常规 11 4" xfId="1103"/>
    <cellStyle name="常规 11 9" xfId="2003"/>
    <cellStyle name="常规 111" xfId="2006"/>
    <cellStyle name="常规 12" xfId="1104"/>
    <cellStyle name="常规 12 2" xfId="1105"/>
    <cellStyle name="常规 12 2 2" xfId="1106"/>
    <cellStyle name="常规 12 3" xfId="1107"/>
    <cellStyle name="常规 12 4" xfId="1108"/>
    <cellStyle name="常规 13" xfId="1109"/>
    <cellStyle name="常规 13 2" xfId="1110"/>
    <cellStyle name="常规 14" xfId="1111"/>
    <cellStyle name="常规 14 2" xfId="1112"/>
    <cellStyle name="常规 15" xfId="1113"/>
    <cellStyle name="常规 15 2" xfId="1114"/>
    <cellStyle name="常规 16" xfId="1115"/>
    <cellStyle name="常规 16 2" xfId="1116"/>
    <cellStyle name="常规 17" xfId="1117"/>
    <cellStyle name="常规 17 2" xfId="1118"/>
    <cellStyle name="常规 172" xfId="2011"/>
    <cellStyle name="常规 18" xfId="1119"/>
    <cellStyle name="常规 18 2" xfId="1120"/>
    <cellStyle name="常规 19" xfId="1121"/>
    <cellStyle name="常规 19 2" xfId="1122"/>
    <cellStyle name="常规 2" xfId="1123"/>
    <cellStyle name="常规 2 10" xfId="1124"/>
    <cellStyle name="常规 2 10 2" xfId="1125"/>
    <cellStyle name="常规 2 11" xfId="1126"/>
    <cellStyle name="常规 2 11 2" xfId="1127"/>
    <cellStyle name="常规 2 12" xfId="1128"/>
    <cellStyle name="常规 2 2" xfId="1129"/>
    <cellStyle name="常规 2 2 2" xfId="1130"/>
    <cellStyle name="常规 2 2 2 2" xfId="1131"/>
    <cellStyle name="常规 2 2 2 2 2" xfId="1132"/>
    <cellStyle name="常规 2 2 2 2 2 2" xfId="1133"/>
    <cellStyle name="常规 2 2 2 2 3" xfId="1134"/>
    <cellStyle name="常规 2 2 2 3" xfId="1135"/>
    <cellStyle name="常规 2 2 2 3 2" xfId="1136"/>
    <cellStyle name="常规 2 2 2 4" xfId="1137"/>
    <cellStyle name="常规 2 2 3" xfId="1138"/>
    <cellStyle name="常规 2 2 3 2" xfId="1139"/>
    <cellStyle name="常规 2 2 3 2 2" xfId="1140"/>
    <cellStyle name="常规 2 2 3 3" xfId="1141"/>
    <cellStyle name="常规 2 2 4" xfId="1142"/>
    <cellStyle name="常规 2 2 4 2" xfId="1143"/>
    <cellStyle name="常规 2 2 4 2 2" xfId="1144"/>
    <cellStyle name="常规 2 2 4 3" xfId="1145"/>
    <cellStyle name="常规 2 2 5" xfId="1146"/>
    <cellStyle name="常规 2 2 5 2" xfId="1147"/>
    <cellStyle name="常规 2 2 6" xfId="1148"/>
    <cellStyle name="常规 2 24" xfId="2002"/>
    <cellStyle name="常规 2 3" xfId="1149"/>
    <cellStyle name="常规 2 3 2" xfId="1150"/>
    <cellStyle name="常规 2 3 2 2" xfId="1151"/>
    <cellStyle name="常规 2 3 2 2 2" xfId="1152"/>
    <cellStyle name="常规 2 3 2 3" xfId="1153"/>
    <cellStyle name="常规 2 3 3" xfId="1154"/>
    <cellStyle name="常规 2 3 3 2" xfId="1155"/>
    <cellStyle name="常规 2 3 4" xfId="1156"/>
    <cellStyle name="常规 2 3 4 2" xfId="1157"/>
    <cellStyle name="常规 2 4" xfId="1158"/>
    <cellStyle name="常规 2 4 2" xfId="1159"/>
    <cellStyle name="常规 2 4 2 2" xfId="1160"/>
    <cellStyle name="常规 2 4 2 2 2" xfId="1161"/>
    <cellStyle name="常规 2 4 2 3" xfId="1162"/>
    <cellStyle name="常规 2 4 3" xfId="1163"/>
    <cellStyle name="常规 2 4 3 2" xfId="1164"/>
    <cellStyle name="常规 2 4 4" xfId="1165"/>
    <cellStyle name="常规 2 5" xfId="1166"/>
    <cellStyle name="常规 2 5 2" xfId="1167"/>
    <cellStyle name="常规 2 5 2 2" xfId="1168"/>
    <cellStyle name="常规 2 5 3" xfId="1169"/>
    <cellStyle name="常规 2 6" xfId="1170"/>
    <cellStyle name="常规 2 6 2" xfId="1171"/>
    <cellStyle name="常规 2 7" xfId="1172"/>
    <cellStyle name="常规 2 8" xfId="1173"/>
    <cellStyle name="常规 2 8 2" xfId="1174"/>
    <cellStyle name="常规 2 8 2 2" xfId="1175"/>
    <cellStyle name="常规 2 8 3" xfId="1176"/>
    <cellStyle name="常规 2 9" xfId="1177"/>
    <cellStyle name="常规 2 9 2" xfId="1178"/>
    <cellStyle name="常规 2 9 2 2" xfId="1179"/>
    <cellStyle name="常规 2 9 3" xfId="1180"/>
    <cellStyle name="常规 2_统筹-校长（暂估）" xfId="1181"/>
    <cellStyle name="常规 20" xfId="1182"/>
    <cellStyle name="常规 21" xfId="1183"/>
    <cellStyle name="常规 21 2" xfId="1184"/>
    <cellStyle name="常规 22" xfId="1185"/>
    <cellStyle name="常规 23" xfId="1186"/>
    <cellStyle name="常规 23 2" xfId="1187"/>
    <cellStyle name="常规 24" xfId="1188"/>
    <cellStyle name="常规 25" xfId="1189"/>
    <cellStyle name="常规 25 2" xfId="1190"/>
    <cellStyle name="常规 26" xfId="1191"/>
    <cellStyle name="常规 26 2" xfId="1192"/>
    <cellStyle name="常规 27" xfId="1193"/>
    <cellStyle name="常规 27 2" xfId="1194"/>
    <cellStyle name="常规 28" xfId="1195"/>
    <cellStyle name="常规 28 2" xfId="1196"/>
    <cellStyle name="常规 29" xfId="1197"/>
    <cellStyle name="常规 29 2" xfId="1198"/>
    <cellStyle name="常规 292 2" xfId="2001"/>
    <cellStyle name="常规 293" xfId="2005"/>
    <cellStyle name="常规 3" xfId="1199"/>
    <cellStyle name="常规 3 2" xfId="1200"/>
    <cellStyle name="常规 3 2 2" xfId="1201"/>
    <cellStyle name="常规 3 2 2 2" xfId="1202"/>
    <cellStyle name="常规 3 2 2 2 2" xfId="1203"/>
    <cellStyle name="常规 3 2 2 3" xfId="1204"/>
    <cellStyle name="常规 3 2 3" xfId="1205"/>
    <cellStyle name="常规 3 2 3 2" xfId="1206"/>
    <cellStyle name="常规 3 2 4" xfId="1207"/>
    <cellStyle name="常规 3 2 4 2" xfId="1208"/>
    <cellStyle name="常规 3 2 5" xfId="1209"/>
    <cellStyle name="常规 3 2 5 2" xfId="1210"/>
    <cellStyle name="常规 3 2 6" xfId="1211"/>
    <cellStyle name="常规 3 2 7" xfId="1212"/>
    <cellStyle name="常规 3 3" xfId="1213"/>
    <cellStyle name="常规 3 3 2" xfId="1214"/>
    <cellStyle name="常规 3 3 2 2" xfId="1215"/>
    <cellStyle name="常规 3 3 2 2 2" xfId="1216"/>
    <cellStyle name="常规 3 3 2 3" xfId="1217"/>
    <cellStyle name="常规 3 3 3" xfId="1218"/>
    <cellStyle name="常规 3 3 3 2" xfId="1219"/>
    <cellStyle name="常规 3 3 4" xfId="1220"/>
    <cellStyle name="常规 3 3 4 2" xfId="1221"/>
    <cellStyle name="常规 3 3 5" xfId="1222"/>
    <cellStyle name="常规 3 3 5 2" xfId="1223"/>
    <cellStyle name="常规 3 3 6" xfId="1224"/>
    <cellStyle name="常规 3 4" xfId="1225"/>
    <cellStyle name="常规 3 4 2" xfId="1226"/>
    <cellStyle name="常规 3 4 2 2" xfId="1227"/>
    <cellStyle name="常规 3 4 2 2 2" xfId="1228"/>
    <cellStyle name="常规 3 4 2 3" xfId="1229"/>
    <cellStyle name="常规 3 4 3" xfId="1230"/>
    <cellStyle name="常规 3 4 3 2" xfId="1231"/>
    <cellStyle name="常规 3 4 4" xfId="1232"/>
    <cellStyle name="常规 3 4 4 2" xfId="1233"/>
    <cellStyle name="常规 3 4 9" xfId="2004"/>
    <cellStyle name="常规 3 5" xfId="1234"/>
    <cellStyle name="常规 3 5 2" xfId="1235"/>
    <cellStyle name="常规 3 5 2 2" xfId="1236"/>
    <cellStyle name="常规 3 5 3" xfId="1237"/>
    <cellStyle name="常规 3 6" xfId="1238"/>
    <cellStyle name="常规 3 7" xfId="1239"/>
    <cellStyle name="常规 3 7 2" xfId="1240"/>
    <cellStyle name="常规 3 7 2 2" xfId="1241"/>
    <cellStyle name="常规 3 7 3" xfId="1242"/>
    <cellStyle name="常规 3 8" xfId="1243"/>
    <cellStyle name="常规 3 8 2" xfId="1244"/>
    <cellStyle name="常规 3 9" xfId="1245"/>
    <cellStyle name="常规 3_统筹-校长（暂估）" xfId="1246"/>
    <cellStyle name="常规 30" xfId="1247"/>
    <cellStyle name="常规 30 2" xfId="1248"/>
    <cellStyle name="常规 31" xfId="1249"/>
    <cellStyle name="常规 31 2" xfId="1250"/>
    <cellStyle name="常规 32" xfId="1251"/>
    <cellStyle name="常规 32 2" xfId="1252"/>
    <cellStyle name="常规 33" xfId="1253"/>
    <cellStyle name="常规 33 2" xfId="1254"/>
    <cellStyle name="常规 34" xfId="1255"/>
    <cellStyle name="常规 34 2" xfId="1256"/>
    <cellStyle name="常规 35" xfId="1257"/>
    <cellStyle name="常规 35 2" xfId="1258"/>
    <cellStyle name="常规 36" xfId="1259"/>
    <cellStyle name="常规 36 2" xfId="1260"/>
    <cellStyle name="常规 37" xfId="1261"/>
    <cellStyle name="常规 37 2" xfId="1262"/>
    <cellStyle name="常规 38" xfId="1263"/>
    <cellStyle name="常规 38 2" xfId="1264"/>
    <cellStyle name="常规 39" xfId="1265"/>
    <cellStyle name="常规 39 2" xfId="1266"/>
    <cellStyle name="常规 4" xfId="1267"/>
    <cellStyle name="常规 4 2" xfId="1268"/>
    <cellStyle name="常规 4 2 2" xfId="1269"/>
    <cellStyle name="常规 4 2 2 2" xfId="1270"/>
    <cellStyle name="常规 4 2 3" xfId="1271"/>
    <cellStyle name="常规 4 3" xfId="1272"/>
    <cellStyle name="常规 4 3 2" xfId="1273"/>
    <cellStyle name="常规 4 4" xfId="1274"/>
    <cellStyle name="常规 4 4 2" xfId="1275"/>
    <cellStyle name="常规 4 5" xfId="1276"/>
    <cellStyle name="常规 4 5 2" xfId="1277"/>
    <cellStyle name="常规 4 6" xfId="1278"/>
    <cellStyle name="常规 4 6 2" xfId="1279"/>
    <cellStyle name="常规 4 7" xfId="1280"/>
    <cellStyle name="常规 4 8" xfId="1281"/>
    <cellStyle name="常规 40" xfId="1282"/>
    <cellStyle name="常规 40 2" xfId="1283"/>
    <cellStyle name="常规 41" xfId="1284"/>
    <cellStyle name="常规 41 2" xfId="1285"/>
    <cellStyle name="常规 42" xfId="1286"/>
    <cellStyle name="常规 42 2" xfId="1287"/>
    <cellStyle name="常规 43" xfId="1288"/>
    <cellStyle name="常规 43 2" xfId="1289"/>
    <cellStyle name="常规 44" xfId="1290"/>
    <cellStyle name="常规 44 2" xfId="1291"/>
    <cellStyle name="常规 45" xfId="1292"/>
    <cellStyle name="常规 45 2" xfId="1293"/>
    <cellStyle name="常规 46" xfId="1294"/>
    <cellStyle name="常规 46 2" xfId="1295"/>
    <cellStyle name="常规 47" xfId="1296"/>
    <cellStyle name="常规 47 2" xfId="1297"/>
    <cellStyle name="常规 48" xfId="1298"/>
    <cellStyle name="常规 48 2" xfId="1299"/>
    <cellStyle name="常规 49" xfId="1300"/>
    <cellStyle name="常规 49 2" xfId="1301"/>
    <cellStyle name="常规 5" xfId="1302"/>
    <cellStyle name="常规 5 2" xfId="1303"/>
    <cellStyle name="常规 5 2 2" xfId="1304"/>
    <cellStyle name="常规 5 2 2 2" xfId="1305"/>
    <cellStyle name="常规 5 2 3" xfId="1306"/>
    <cellStyle name="常规 5 3" xfId="1307"/>
    <cellStyle name="常规 5 3 2" xfId="1308"/>
    <cellStyle name="常规 5 4" xfId="1309"/>
    <cellStyle name="常规 5 4 2" xfId="1310"/>
    <cellStyle name="常规 5 5" xfId="1311"/>
    <cellStyle name="常规 5 5 2" xfId="1312"/>
    <cellStyle name="常规 5 6" xfId="1313"/>
    <cellStyle name="常规 50" xfId="1314"/>
    <cellStyle name="常规 50 2" xfId="1315"/>
    <cellStyle name="常规 51" xfId="1316"/>
    <cellStyle name="常规 51 2" xfId="1317"/>
    <cellStyle name="常规 52" xfId="1318"/>
    <cellStyle name="常规 52 2" xfId="1319"/>
    <cellStyle name="常规 53" xfId="1320"/>
    <cellStyle name="常规 53 2" xfId="1321"/>
    <cellStyle name="常规 54" xfId="1322"/>
    <cellStyle name="常规 54 2" xfId="1323"/>
    <cellStyle name="常规 55" xfId="1324"/>
    <cellStyle name="常规 55 2" xfId="1325"/>
    <cellStyle name="常规 56" xfId="1326"/>
    <cellStyle name="常规 56 2" xfId="1327"/>
    <cellStyle name="常规 57" xfId="1328"/>
    <cellStyle name="常规 57 2" xfId="1329"/>
    <cellStyle name="常规 58" xfId="1330"/>
    <cellStyle name="常规 58 2" xfId="1331"/>
    <cellStyle name="常规 59" xfId="1332"/>
    <cellStyle name="常规 59 2" xfId="1333"/>
    <cellStyle name="常规 6" xfId="1334"/>
    <cellStyle name="常规 6 2" xfId="1335"/>
    <cellStyle name="常规 6 2 2" xfId="1336"/>
    <cellStyle name="常规 6 2 2 2" xfId="1337"/>
    <cellStyle name="常规 6 2 3" xfId="1338"/>
    <cellStyle name="常规 6 3" xfId="1339"/>
    <cellStyle name="常规 6 3 2" xfId="1340"/>
    <cellStyle name="常规 6 4" xfId="1341"/>
    <cellStyle name="常规 6 4 2" xfId="1342"/>
    <cellStyle name="常规 6 5" xfId="1343"/>
    <cellStyle name="常规 6 5 2" xfId="1344"/>
    <cellStyle name="常规 6 6" xfId="1345"/>
    <cellStyle name="常规 60" xfId="1346"/>
    <cellStyle name="常规 60 2" xfId="1347"/>
    <cellStyle name="常规 61" xfId="1348"/>
    <cellStyle name="常规 61 2" xfId="1349"/>
    <cellStyle name="常规 62" xfId="1350"/>
    <cellStyle name="常规 62 2" xfId="1351"/>
    <cellStyle name="常规 63" xfId="1352"/>
    <cellStyle name="常规 63 2" xfId="1353"/>
    <cellStyle name="常规 64" xfId="1354"/>
    <cellStyle name="常规 64 2" xfId="1355"/>
    <cellStyle name="常规 65" xfId="1356"/>
    <cellStyle name="常规 66" xfId="1357"/>
    <cellStyle name="常规 67" xfId="1358"/>
    <cellStyle name="常规 68" xfId="1359"/>
    <cellStyle name="常规 69" xfId="1360"/>
    <cellStyle name="常规 7" xfId="1361"/>
    <cellStyle name="常规 7 2" xfId="1362"/>
    <cellStyle name="常规 7 2 2" xfId="1363"/>
    <cellStyle name="常规 7 2 2 2" xfId="1364"/>
    <cellStyle name="常规 7 2 3" xfId="1365"/>
    <cellStyle name="常规 7 3" xfId="1366"/>
    <cellStyle name="常规 7 3 2" xfId="1367"/>
    <cellStyle name="常规 7 4" xfId="1368"/>
    <cellStyle name="常规 7 4 2" xfId="1369"/>
    <cellStyle name="常规 7 5" xfId="1370"/>
    <cellStyle name="常规 7 5 2" xfId="1371"/>
    <cellStyle name="常规 7 6" xfId="1372"/>
    <cellStyle name="常规 70" xfId="1373"/>
    <cellStyle name="常规 71" xfId="1374"/>
    <cellStyle name="常规 72" xfId="1375"/>
    <cellStyle name="常规 73" xfId="1376"/>
    <cellStyle name="常规 74" xfId="1377"/>
    <cellStyle name="常规 75" xfId="1378"/>
    <cellStyle name="常规 76" xfId="1379"/>
    <cellStyle name="常规 77" xfId="1380"/>
    <cellStyle name="常规 78" xfId="1381"/>
    <cellStyle name="常规 79" xfId="1382"/>
    <cellStyle name="常规 8" xfId="1383"/>
    <cellStyle name="常规 8 2" xfId="1384"/>
    <cellStyle name="常规 8 2 2" xfId="1385"/>
    <cellStyle name="常规 8 2 2 2" xfId="1386"/>
    <cellStyle name="常规 8 2 3" xfId="1387"/>
    <cellStyle name="常规 8 3" xfId="1388"/>
    <cellStyle name="常规 8 3 2" xfId="1389"/>
    <cellStyle name="常规 8 4" xfId="1390"/>
    <cellStyle name="常规 8 4 2" xfId="1391"/>
    <cellStyle name="常规 8 5" xfId="1392"/>
    <cellStyle name="常规 8 5 2" xfId="1393"/>
    <cellStyle name="常规 8 6" xfId="1394"/>
    <cellStyle name="常规 80" xfId="1395"/>
    <cellStyle name="常规 81" xfId="1396"/>
    <cellStyle name="常规 82" xfId="1397"/>
    <cellStyle name="常规 83" xfId="1398"/>
    <cellStyle name="常规 84" xfId="1399"/>
    <cellStyle name="常规 85" xfId="1400"/>
    <cellStyle name="常规 86" xfId="1401"/>
    <cellStyle name="常规 87" xfId="1402"/>
    <cellStyle name="常规 88" xfId="1403"/>
    <cellStyle name="常规 89" xfId="1404"/>
    <cellStyle name="常规 9" xfId="1405"/>
    <cellStyle name="常规 9 2" xfId="1406"/>
    <cellStyle name="常规 9 2 2" xfId="1407"/>
    <cellStyle name="常规 9 2 2 2" xfId="1408"/>
    <cellStyle name="常规 9 2 2 2 2" xfId="1409"/>
    <cellStyle name="常规 9 2 2 3" xfId="1410"/>
    <cellStyle name="常规 9 2 3" xfId="1411"/>
    <cellStyle name="常规 9 2 3 2" xfId="1412"/>
    <cellStyle name="常规 9 2 4" xfId="1413"/>
    <cellStyle name="常规 9 3" xfId="1414"/>
    <cellStyle name="常规 9 3 2" xfId="1415"/>
    <cellStyle name="常规 9 3 2 2" xfId="1416"/>
    <cellStyle name="常规 9 3 3" xfId="1417"/>
    <cellStyle name="常规 9 4" xfId="1418"/>
    <cellStyle name="常规 9 4 2" xfId="1419"/>
    <cellStyle name="常规 9 4 2 2" xfId="1420"/>
    <cellStyle name="常规 9 4 3" xfId="1421"/>
    <cellStyle name="常规 9 5" xfId="1422"/>
    <cellStyle name="常规 9 5 2" xfId="1423"/>
    <cellStyle name="常规 9 6" xfId="1424"/>
    <cellStyle name="常规 90" xfId="1425"/>
    <cellStyle name="常规 91" xfId="1426"/>
    <cellStyle name="常规 92" xfId="1427"/>
    <cellStyle name="常规 93" xfId="1428"/>
    <cellStyle name="常规 94" xfId="1429"/>
    <cellStyle name="常规 95" xfId="1430"/>
    <cellStyle name="常规 96" xfId="1431"/>
    <cellStyle name="常规 97" xfId="1432"/>
    <cellStyle name="常规 98" xfId="1433"/>
    <cellStyle name="常规 99" xfId="1434"/>
    <cellStyle name="常规_Sheet1" xfId="2008"/>
    <cellStyle name="超链接 2" xfId="1435"/>
    <cellStyle name="好 2" xfId="1436"/>
    <cellStyle name="好 2 2" xfId="1437"/>
    <cellStyle name="好 2 2 2" xfId="1438"/>
    <cellStyle name="好 2 3" xfId="1439"/>
    <cellStyle name="好 3" xfId="1440"/>
    <cellStyle name="好 3 2" xfId="1441"/>
    <cellStyle name="好 3 2 2" xfId="1442"/>
    <cellStyle name="好 3 3" xfId="1443"/>
    <cellStyle name="好 4" xfId="1444"/>
    <cellStyle name="好 4 2" xfId="1445"/>
    <cellStyle name="好 4 2 2" xfId="1446"/>
    <cellStyle name="好 4 3" xfId="1447"/>
    <cellStyle name="好 5" xfId="1448"/>
    <cellStyle name="好 5 2" xfId="1449"/>
    <cellStyle name="好 6" xfId="1450"/>
    <cellStyle name="好 6 2" xfId="1451"/>
    <cellStyle name="好 7" xfId="1452"/>
    <cellStyle name="好 7 2" xfId="1453"/>
    <cellStyle name="好 8" xfId="1454"/>
    <cellStyle name="好_2013见习培训经费表下半年(chen)2014年9月" xfId="1455"/>
    <cellStyle name="好_2013见习培训经费表下半年(chen)2014年9月 2" xfId="1456"/>
    <cellStyle name="好_2013见习培训经费表下半年(chen)2014年9月 2 2" xfId="1457"/>
    <cellStyle name="好_2013见习培训经费表下半年(chen)2014年9月 2 2 2" xfId="1458"/>
    <cellStyle name="好_2013见习培训经费表下半年(chen)2014年9月 2 3" xfId="1459"/>
    <cellStyle name="好_2013见习培训经费表下半年(chen)2014年9月 3" xfId="1460"/>
    <cellStyle name="好_2013见习培训经费表下半年(chen)2014年9月 3 2" xfId="1461"/>
    <cellStyle name="好_2013见习培训经费表下半年(chen)2014年9月 4" xfId="1462"/>
    <cellStyle name="好_2013见习培训经费表下半年(chen)2014年9月 4 2" xfId="1463"/>
    <cellStyle name="好_2013见习培训经费表下半年(chen)2014年9月 5" xfId="1464"/>
    <cellStyle name="好_2014年聘用学校导师带教经费表" xfId="1465"/>
    <cellStyle name="好_2014年聘用学校导师带教经费表 2" xfId="1466"/>
    <cellStyle name="好_2014年聘用学校导师带教经费表 2 2" xfId="1467"/>
    <cellStyle name="好_2014年聘用学校导师带教经费表 2 2 2" xfId="1468"/>
    <cellStyle name="好_2014年聘用学校导师带教经费表 2 3" xfId="1469"/>
    <cellStyle name="好_2014年聘用学校导师带教经费表 3" xfId="1470"/>
    <cellStyle name="好_2014年聘用学校导师带教经费表 3 2" xfId="1471"/>
    <cellStyle name="好_2014年聘用学校导师带教经费表 3 2 2" xfId="1472"/>
    <cellStyle name="好_2014年聘用学校导师带教经费表 3 3" xfId="1473"/>
    <cellStyle name="好_2014年聘用学校导师带教经费表 4" xfId="1474"/>
    <cellStyle name="好_2014年聘用学校导师带教经费表 4 2" xfId="1475"/>
    <cellStyle name="好_2014年聘用学校导师带教经费表 4 2 2" xfId="1476"/>
    <cellStyle name="好_2014年聘用学校导师带教经费表 4 3" xfId="1477"/>
    <cellStyle name="好_2014年聘用学校导师带教经费表 5" xfId="1478"/>
    <cellStyle name="好_2014年聘用学校导师带教经费表 5 2" xfId="1479"/>
    <cellStyle name="好_2014年聘用学校导师带教经费表 6" xfId="1480"/>
    <cellStyle name="好_2014年聘用学校导师带教经费表 6 2" xfId="1481"/>
    <cellStyle name="好_2014年聘用学校导师带教经费表 7" xfId="1482"/>
    <cellStyle name="好_2014年终考核奖完整版-给核算中心" xfId="1483"/>
    <cellStyle name="好_2014年终考核奖完整版-给核算中心 2" xfId="1484"/>
    <cellStyle name="好_2014年终考核奖完整版-给核算中心 2 2" xfId="1485"/>
    <cellStyle name="好_2014年终考核奖完整版-给核算中心 2 2 2" xfId="1486"/>
    <cellStyle name="好_2014年终考核奖完整版-给核算中心 2 3" xfId="1487"/>
    <cellStyle name="好_2014年终考核奖完整版-给核算中心 3" xfId="1488"/>
    <cellStyle name="好_2014年终考核奖完整版-给核算中心 3 2" xfId="1489"/>
    <cellStyle name="好_2014年终考核奖完整版-给核算中心 4" xfId="1490"/>
    <cellStyle name="好_2014年终考核奖完整版-给核算中心 4 2" xfId="1491"/>
    <cellStyle name="好_2014年终考核奖完整版-给核算中心 5" xfId="1492"/>
    <cellStyle name="好_2014优秀学校奖励测算表" xfId="1493"/>
    <cellStyle name="好_2014优秀学校奖励测算表 2" xfId="1494"/>
    <cellStyle name="好_2014优秀学校奖励测算表 2 2" xfId="1495"/>
    <cellStyle name="好_2014优秀学校奖励测算表 2 2 2" xfId="1496"/>
    <cellStyle name="好_2014优秀学校奖励测算表 2 3" xfId="1497"/>
    <cellStyle name="好_2014优秀学校奖励测算表 3" xfId="1498"/>
    <cellStyle name="好_2014优秀学校奖励测算表 3 2" xfId="1499"/>
    <cellStyle name="好_2014优秀学校奖励测算表 4" xfId="1500"/>
    <cellStyle name="好_2014优秀学校奖励测算表 4 2" xfId="1501"/>
    <cellStyle name="好_2014优秀学校奖励测算表 5" xfId="1502"/>
    <cellStyle name="好_2015年年终奖预发表-给核算中心" xfId="1503"/>
    <cellStyle name="好_2015年年终奖预发表-给核算中心 2" xfId="1504"/>
    <cellStyle name="好_2015年年终奖预发表-给核算中心 2 2" xfId="1505"/>
    <cellStyle name="好_2015年年终奖预发表-给核算中心 2 2 2" xfId="1506"/>
    <cellStyle name="好_2015年年终奖预发表-给核算中心 2 3" xfId="1507"/>
    <cellStyle name="好_2015年年终奖预发表-给核算中心 3" xfId="1508"/>
    <cellStyle name="好_2015年年终奖预发表-给核算中心 3 2" xfId="1509"/>
    <cellStyle name="好_2015年年终奖预发表-给核算中心 4" xfId="1510"/>
    <cellStyle name="好_2015年年终奖预发表-给核算中心 4 2" xfId="1511"/>
    <cellStyle name="好_2015年年终奖预发表-给核算中心 5" xfId="1512"/>
    <cellStyle name="好_2016年3月校长职级工资（核算中心）" xfId="1513"/>
    <cellStyle name="好_2016年3月校长职级工资（核算中心） 2" xfId="1514"/>
    <cellStyle name="好_2016年3月校长职级工资（核算中心） 2 2" xfId="1515"/>
    <cellStyle name="好_2016年3月校长职级工资（核算中心） 2 2 2" xfId="1516"/>
    <cellStyle name="好_2016年3月校长职级工资（核算中心） 2 3" xfId="1517"/>
    <cellStyle name="好_2016年3月校长职级工资（核算中心） 3" xfId="1518"/>
    <cellStyle name="好_2016年3月校长职级工资（核算中心） 3 2" xfId="1519"/>
    <cellStyle name="好_2016年3月校长职级工资（核算中心） 4" xfId="1520"/>
    <cellStyle name="好_2016年3月校长职级工资（核算中心） 4 2" xfId="1521"/>
    <cellStyle name="好_2016年3月校长职级工资（核算中心） 5" xfId="1522"/>
    <cellStyle name="好_A0汇总表（报计财科：项目津贴发放）" xfId="1523"/>
    <cellStyle name="好_A0汇总表（报计财科：项目津贴发放） 2" xfId="1524"/>
    <cellStyle name="好_A0汇总表（报计财科：项目津贴发放） 2 2" xfId="1525"/>
    <cellStyle name="好_A0汇总表（报计财科：项目津贴发放） 2 2 2" xfId="1526"/>
    <cellStyle name="好_A0汇总表（报计财科：项目津贴发放） 2 3" xfId="1527"/>
    <cellStyle name="好_A0汇总表（报计财科：项目津贴发放） 3" xfId="1528"/>
    <cellStyle name="好_A0汇总表（报计财科：项目津贴发放） 3 2" xfId="1529"/>
    <cellStyle name="好_A0汇总表（报计财科：项目津贴发放） 4" xfId="1530"/>
    <cellStyle name="好_A0汇总表（报计财科：项目津贴发放） 4 2" xfId="1531"/>
    <cellStyle name="好_A0汇总表（报计财科：项目津贴发放） 5" xfId="1532"/>
    <cellStyle name="好_统筹-校长（暂估）" xfId="1533"/>
    <cellStyle name="好_统筹-校长（暂估） 2" xfId="1534"/>
    <cellStyle name="好_统筹-校长（暂估） 2 2" xfId="1535"/>
    <cellStyle name="好_统筹-校长（暂估） 2 2 2" xfId="1536"/>
    <cellStyle name="好_统筹-校长（暂估） 2 3" xfId="1537"/>
    <cellStyle name="好_统筹-校长（暂估） 3" xfId="1538"/>
    <cellStyle name="好_统筹-校长（暂估） 3 2" xfId="1539"/>
    <cellStyle name="好_统筹-校长（暂估） 4" xfId="1540"/>
    <cellStyle name="好_统筹-校长（暂估） 4 2" xfId="1541"/>
    <cellStyle name="好_统筹-校长（暂估） 5" xfId="1542"/>
    <cellStyle name="好_校长、书记2015年增量部分发放清单" xfId="1543"/>
    <cellStyle name="好_校长、书记2015年增量部分发放清单 2" xfId="1544"/>
    <cellStyle name="好_校长、书记2015年增量部分发放清单 2 2" xfId="1545"/>
    <cellStyle name="好_校长、书记2015年增量部分发放清单 2 2 2" xfId="1546"/>
    <cellStyle name="好_校长、书记2015年增量部分发放清单 2 3" xfId="1547"/>
    <cellStyle name="好_校长、书记2015年增量部分发放清单 3" xfId="1548"/>
    <cellStyle name="好_校长、书记2015年增量部分发放清单 3 2" xfId="1549"/>
    <cellStyle name="好_校长、书记2015年增量部分发放清单 4" xfId="1550"/>
    <cellStyle name="好_校长、书记2015年增量部分发放清单 4 2" xfId="1551"/>
    <cellStyle name="好_校长、书记2015年增量部分发放清单 5" xfId="1552"/>
    <cellStyle name="好_校长职级、亚信会奖励、教师节奖励镇管" xfId="1553"/>
    <cellStyle name="好_校长职级、亚信会奖励、教师节奖励镇管 2" xfId="1554"/>
    <cellStyle name="好_校长职级、亚信会奖励、教师节奖励镇管 2 2" xfId="1555"/>
    <cellStyle name="好_校长职级、亚信会奖励、教师节奖励镇管 2 2 2" xfId="1556"/>
    <cellStyle name="好_校长职级、亚信会奖励、教师节奖励镇管 2 3" xfId="1557"/>
    <cellStyle name="好_校长职级、亚信会奖励、教师节奖励镇管 3" xfId="1558"/>
    <cellStyle name="好_校长职级、亚信会奖励、教师节奖励镇管 3 2" xfId="1559"/>
    <cellStyle name="好_校长职级、亚信会奖励、教师节奖励镇管 4" xfId="1560"/>
    <cellStyle name="好_校长职级、亚信会奖励、教师节奖励镇管 4 2" xfId="1561"/>
    <cellStyle name="好_校长职级、亚信会奖励、教师节奖励镇管 5" xfId="1562"/>
    <cellStyle name="好_镇管汇总" xfId="1563"/>
    <cellStyle name="好_镇管汇总 2" xfId="1564"/>
    <cellStyle name="好_镇管汇总 2 2" xfId="1565"/>
    <cellStyle name="好_镇管汇总 2 2 2" xfId="1566"/>
    <cellStyle name="好_镇管汇总 2 3" xfId="1567"/>
    <cellStyle name="好_镇管汇总 3" xfId="1568"/>
    <cellStyle name="好_镇管汇总 3 2" xfId="1569"/>
    <cellStyle name="好_镇管汇总 4" xfId="1570"/>
    <cellStyle name="好_镇管汇总 4 2" xfId="1571"/>
    <cellStyle name="好_镇管汇总 5" xfId="1572"/>
    <cellStyle name="汇总 2" xfId="1573"/>
    <cellStyle name="汇总 2 2" xfId="1574"/>
    <cellStyle name="汇总 2 2 2" xfId="1575"/>
    <cellStyle name="汇总 2 3" xfId="1576"/>
    <cellStyle name="汇总 3" xfId="1577"/>
    <cellStyle name="汇总 3 2" xfId="1578"/>
    <cellStyle name="汇总 3 2 2" xfId="1579"/>
    <cellStyle name="汇总 3 3" xfId="1580"/>
    <cellStyle name="汇总 4" xfId="1581"/>
    <cellStyle name="汇总 4 2" xfId="1582"/>
    <cellStyle name="汇总 4 2 2" xfId="1583"/>
    <cellStyle name="汇总 4 3" xfId="1584"/>
    <cellStyle name="汇总 5" xfId="1585"/>
    <cellStyle name="汇总 5 2" xfId="1586"/>
    <cellStyle name="汇总 6" xfId="1587"/>
    <cellStyle name="汇总 6 2" xfId="1588"/>
    <cellStyle name="计算 2" xfId="1589"/>
    <cellStyle name="计算 2 2" xfId="1590"/>
    <cellStyle name="计算 2 2 2" xfId="1591"/>
    <cellStyle name="计算 2 3" xfId="1592"/>
    <cellStyle name="计算 3" xfId="1593"/>
    <cellStyle name="计算 3 2" xfId="1594"/>
    <cellStyle name="计算 3 2 2" xfId="1595"/>
    <cellStyle name="计算 3 3" xfId="1596"/>
    <cellStyle name="计算 4" xfId="1597"/>
    <cellStyle name="计算 4 2" xfId="1598"/>
    <cellStyle name="计算 4 2 2" xfId="1599"/>
    <cellStyle name="计算 4 3" xfId="1600"/>
    <cellStyle name="计算 5" xfId="1601"/>
    <cellStyle name="计算 5 2" xfId="1602"/>
    <cellStyle name="计算 6" xfId="1603"/>
    <cellStyle name="计算 6 2" xfId="1604"/>
    <cellStyle name="计算 7" xfId="1605"/>
    <cellStyle name="计算 7 2" xfId="1606"/>
    <cellStyle name="检查单元格 2" xfId="1607"/>
    <cellStyle name="检查单元格 2 2" xfId="1608"/>
    <cellStyle name="检查单元格 2 2 2" xfId="1609"/>
    <cellStyle name="检查单元格 2 3" xfId="1610"/>
    <cellStyle name="检查单元格 3" xfId="1611"/>
    <cellStyle name="检查单元格 3 2" xfId="1612"/>
    <cellStyle name="检查单元格 3 2 2" xfId="1613"/>
    <cellStyle name="检查单元格 3 3" xfId="1614"/>
    <cellStyle name="检查单元格 4" xfId="1615"/>
    <cellStyle name="检查单元格 4 2" xfId="1616"/>
    <cellStyle name="检查单元格 4 2 2" xfId="1617"/>
    <cellStyle name="检查单元格 4 3" xfId="1618"/>
    <cellStyle name="检查单元格 5" xfId="1619"/>
    <cellStyle name="检查单元格 5 2" xfId="1620"/>
    <cellStyle name="检查单元格 6" xfId="1621"/>
    <cellStyle name="检查单元格 6 2" xfId="1622"/>
    <cellStyle name="检查单元格 7" xfId="1623"/>
    <cellStyle name="检查单元格 7 2" xfId="1624"/>
    <cellStyle name="解释性文本 2" xfId="1625"/>
    <cellStyle name="解释性文本 2 2" xfId="1626"/>
    <cellStyle name="解释性文本 2 2 2" xfId="1627"/>
    <cellStyle name="解释性文本 2 3" xfId="1628"/>
    <cellStyle name="解释性文本 3" xfId="1629"/>
    <cellStyle name="解释性文本 3 2" xfId="1630"/>
    <cellStyle name="解释性文本 3 2 2" xfId="1631"/>
    <cellStyle name="解释性文本 3 3" xfId="1632"/>
    <cellStyle name="解释性文本 4" xfId="1633"/>
    <cellStyle name="解释性文本 4 2" xfId="1634"/>
    <cellStyle name="解释性文本 4 2 2" xfId="1635"/>
    <cellStyle name="解释性文本 4 3" xfId="1636"/>
    <cellStyle name="解释性文本 5" xfId="1637"/>
    <cellStyle name="解释性文本 5 2" xfId="1638"/>
    <cellStyle name="解释性文本 6" xfId="1639"/>
    <cellStyle name="解释性文本 6 2" xfId="1640"/>
    <cellStyle name="警告文本 2" xfId="1641"/>
    <cellStyle name="警告文本 2 2" xfId="1642"/>
    <cellStyle name="警告文本 2 2 2" xfId="1643"/>
    <cellStyle name="警告文本 2 3" xfId="1644"/>
    <cellStyle name="警告文本 3" xfId="1645"/>
    <cellStyle name="警告文本 3 2" xfId="1646"/>
    <cellStyle name="警告文本 3 2 2" xfId="1647"/>
    <cellStyle name="警告文本 3 3" xfId="1648"/>
    <cellStyle name="警告文本 4" xfId="1649"/>
    <cellStyle name="警告文本 4 2" xfId="1650"/>
    <cellStyle name="警告文本 4 2 2" xfId="1651"/>
    <cellStyle name="警告文本 4 3" xfId="1652"/>
    <cellStyle name="警告文本 5" xfId="1653"/>
    <cellStyle name="警告文本 5 2" xfId="1654"/>
    <cellStyle name="警告文本 6" xfId="1655"/>
    <cellStyle name="警告文本 6 2" xfId="1656"/>
    <cellStyle name="链接单元格 2" xfId="1657"/>
    <cellStyle name="链接单元格 2 2" xfId="1658"/>
    <cellStyle name="链接单元格 2 2 2" xfId="1659"/>
    <cellStyle name="链接单元格 2 3" xfId="1660"/>
    <cellStyle name="链接单元格 3" xfId="1661"/>
    <cellStyle name="链接单元格 3 2" xfId="1662"/>
    <cellStyle name="链接单元格 3 2 2" xfId="1663"/>
    <cellStyle name="链接单元格 3 3" xfId="1664"/>
    <cellStyle name="链接单元格 4" xfId="1665"/>
    <cellStyle name="链接单元格 4 2" xfId="1666"/>
    <cellStyle name="链接单元格 4 2 2" xfId="1667"/>
    <cellStyle name="链接单元格 4 3" xfId="1668"/>
    <cellStyle name="链接单元格 5" xfId="1669"/>
    <cellStyle name="链接单元格 5 2" xfId="1670"/>
    <cellStyle name="链接单元格 6" xfId="1671"/>
    <cellStyle name="链接单元格 6 2" xfId="1672"/>
    <cellStyle name="千位分隔 10" xfId="1673"/>
    <cellStyle name="千位分隔 10 2" xfId="1674"/>
    <cellStyle name="千位分隔 11" xfId="1675"/>
    <cellStyle name="千位分隔 12" xfId="1676"/>
    <cellStyle name="千位分隔 12 2" xfId="1677"/>
    <cellStyle name="千位分隔 13" xfId="1678"/>
    <cellStyle name="千位分隔 14" xfId="1679"/>
    <cellStyle name="千位分隔 14 2" xfId="1680"/>
    <cellStyle name="千位分隔 2" xfId="1681"/>
    <cellStyle name="千位分隔 2 2" xfId="1682"/>
    <cellStyle name="千位分隔 2 2 2" xfId="1683"/>
    <cellStyle name="千位分隔 2 2 2 2" xfId="1684"/>
    <cellStyle name="千位分隔 2 2 3" xfId="1685"/>
    <cellStyle name="千位分隔 2 2 4" xfId="1686"/>
    <cellStyle name="千位分隔 2 3" xfId="1687"/>
    <cellStyle name="千位分隔 2 3 2" xfId="1688"/>
    <cellStyle name="千位分隔 2 3 3" xfId="1689"/>
    <cellStyle name="千位分隔 2 4" xfId="1690"/>
    <cellStyle name="千位分隔 2 4 2" xfId="1691"/>
    <cellStyle name="千位分隔 2 4 2 2" xfId="1692"/>
    <cellStyle name="千位分隔 2 4 3" xfId="1693"/>
    <cellStyle name="千位分隔 2 5" xfId="1694"/>
    <cellStyle name="千位分隔 2 5 2" xfId="1695"/>
    <cellStyle name="千位分隔 2 6" xfId="1696"/>
    <cellStyle name="千位分隔 2 6 2" xfId="1697"/>
    <cellStyle name="千位分隔 2 7" xfId="1698"/>
    <cellStyle name="千位分隔 2 7 2" xfId="1699"/>
    <cellStyle name="千位分隔 2 8" xfId="1700"/>
    <cellStyle name="千位分隔 2 8 2" xfId="1701"/>
    <cellStyle name="千位分隔 2 9" xfId="1702"/>
    <cellStyle name="千位分隔 3" xfId="1703"/>
    <cellStyle name="千位分隔 3 2" xfId="1704"/>
    <cellStyle name="千位分隔 3 2 2" xfId="1705"/>
    <cellStyle name="千位分隔 3 2 2 2" xfId="1706"/>
    <cellStyle name="千位分隔 3 2 3" xfId="1707"/>
    <cellStyle name="千位分隔 3 3" xfId="1708"/>
    <cellStyle name="千位分隔 3 3 2" xfId="1709"/>
    <cellStyle name="千位分隔 3 4" xfId="1710"/>
    <cellStyle name="千位分隔 4" xfId="1711"/>
    <cellStyle name="千位分隔 4 2" xfId="1712"/>
    <cellStyle name="千位分隔 4 3" xfId="1713"/>
    <cellStyle name="千位分隔 5" xfId="1714"/>
    <cellStyle name="千位分隔 5 2" xfId="1715"/>
    <cellStyle name="千位分隔 5 2 2" xfId="1716"/>
    <cellStyle name="千位分隔 5 3" xfId="1717"/>
    <cellStyle name="千位分隔 6" xfId="1718"/>
    <cellStyle name="千位分隔 6 2" xfId="1719"/>
    <cellStyle name="千位分隔 6 2 2" xfId="1720"/>
    <cellStyle name="千位分隔 6 3" xfId="1721"/>
    <cellStyle name="千位分隔 7" xfId="1722"/>
    <cellStyle name="千位分隔 7 2" xfId="1723"/>
    <cellStyle name="千位分隔 8" xfId="1724"/>
    <cellStyle name="千位分隔 8 2" xfId="1725"/>
    <cellStyle name="千位分隔 9" xfId="1726"/>
    <cellStyle name="千位分隔[0]" xfId="2007" builtinId="6"/>
    <cellStyle name="千位分隔[0] 2" xfId="2010"/>
    <cellStyle name="强调文字颜色 1 2" xfId="1727"/>
    <cellStyle name="强调文字颜色 1 2 2" xfId="1728"/>
    <cellStyle name="强调文字颜色 1 2 2 2" xfId="1729"/>
    <cellStyle name="强调文字颜色 1 2 3" xfId="1730"/>
    <cellStyle name="强调文字颜色 1 3" xfId="1731"/>
    <cellStyle name="强调文字颜色 1 3 2" xfId="1732"/>
    <cellStyle name="强调文字颜色 1 3 2 2" xfId="1733"/>
    <cellStyle name="强调文字颜色 1 3 3" xfId="1734"/>
    <cellStyle name="强调文字颜色 1 4" xfId="1735"/>
    <cellStyle name="强调文字颜色 1 4 2" xfId="1736"/>
    <cellStyle name="强调文字颜色 1 4 2 2" xfId="1737"/>
    <cellStyle name="强调文字颜色 1 4 3" xfId="1738"/>
    <cellStyle name="强调文字颜色 1 5" xfId="1739"/>
    <cellStyle name="强调文字颜色 1 5 2" xfId="1740"/>
    <cellStyle name="强调文字颜色 1 6" xfId="1741"/>
    <cellStyle name="强调文字颜色 1 6 2" xfId="1742"/>
    <cellStyle name="强调文字颜色 1 7" xfId="1743"/>
    <cellStyle name="强调文字颜色 1 7 2" xfId="1744"/>
    <cellStyle name="强调文字颜色 2 2" xfId="1745"/>
    <cellStyle name="强调文字颜色 2 2 2" xfId="1746"/>
    <cellStyle name="强调文字颜色 2 2 2 2" xfId="1747"/>
    <cellStyle name="强调文字颜色 2 2 3" xfId="1748"/>
    <cellStyle name="强调文字颜色 2 3" xfId="1749"/>
    <cellStyle name="强调文字颜色 2 3 2" xfId="1750"/>
    <cellStyle name="强调文字颜色 2 3 2 2" xfId="1751"/>
    <cellStyle name="强调文字颜色 2 3 3" xfId="1752"/>
    <cellStyle name="强调文字颜色 2 4" xfId="1753"/>
    <cellStyle name="强调文字颜色 2 4 2" xfId="1754"/>
    <cellStyle name="强调文字颜色 2 4 2 2" xfId="1755"/>
    <cellStyle name="强调文字颜色 2 4 3" xfId="1756"/>
    <cellStyle name="强调文字颜色 2 5" xfId="1757"/>
    <cellStyle name="强调文字颜色 2 5 2" xfId="1758"/>
    <cellStyle name="强调文字颜色 2 6" xfId="1759"/>
    <cellStyle name="强调文字颜色 2 6 2" xfId="1760"/>
    <cellStyle name="强调文字颜色 2 7" xfId="1761"/>
    <cellStyle name="强调文字颜色 2 7 2" xfId="1762"/>
    <cellStyle name="强调文字颜色 3 2" xfId="1763"/>
    <cellStyle name="强调文字颜色 3 2 2" xfId="1764"/>
    <cellStyle name="强调文字颜色 3 2 2 2" xfId="1765"/>
    <cellStyle name="强调文字颜色 3 2 3" xfId="1766"/>
    <cellStyle name="强调文字颜色 3 3" xfId="1767"/>
    <cellStyle name="强调文字颜色 3 3 2" xfId="1768"/>
    <cellStyle name="强调文字颜色 3 3 2 2" xfId="1769"/>
    <cellStyle name="强调文字颜色 3 3 3" xfId="1770"/>
    <cellStyle name="强调文字颜色 3 4" xfId="1771"/>
    <cellStyle name="强调文字颜色 3 4 2" xfId="1772"/>
    <cellStyle name="强调文字颜色 3 4 2 2" xfId="1773"/>
    <cellStyle name="强调文字颜色 3 4 3" xfId="1774"/>
    <cellStyle name="强调文字颜色 3 5" xfId="1775"/>
    <cellStyle name="强调文字颜色 3 5 2" xfId="1776"/>
    <cellStyle name="强调文字颜色 3 6" xfId="1777"/>
    <cellStyle name="强调文字颜色 3 6 2" xfId="1778"/>
    <cellStyle name="强调文字颜色 3 7" xfId="1779"/>
    <cellStyle name="强调文字颜色 3 7 2" xfId="1780"/>
    <cellStyle name="强调文字颜色 4 2" xfId="1781"/>
    <cellStyle name="强调文字颜色 4 2 2" xfId="1782"/>
    <cellStyle name="强调文字颜色 4 2 2 2" xfId="1783"/>
    <cellStyle name="强调文字颜色 4 2 3" xfId="1784"/>
    <cellStyle name="强调文字颜色 4 3" xfId="1785"/>
    <cellStyle name="强调文字颜色 4 3 2" xfId="1786"/>
    <cellStyle name="强调文字颜色 4 3 2 2" xfId="1787"/>
    <cellStyle name="强调文字颜色 4 3 3" xfId="1788"/>
    <cellStyle name="强调文字颜色 4 4" xfId="1789"/>
    <cellStyle name="强调文字颜色 4 4 2" xfId="1790"/>
    <cellStyle name="强调文字颜色 4 4 2 2" xfId="1791"/>
    <cellStyle name="强调文字颜色 4 4 3" xfId="1792"/>
    <cellStyle name="强调文字颜色 4 5" xfId="1793"/>
    <cellStyle name="强调文字颜色 4 5 2" xfId="1794"/>
    <cellStyle name="强调文字颜色 4 6" xfId="1795"/>
    <cellStyle name="强调文字颜色 4 6 2" xfId="1796"/>
    <cellStyle name="强调文字颜色 4 7" xfId="1797"/>
    <cellStyle name="强调文字颜色 4 7 2" xfId="1798"/>
    <cellStyle name="强调文字颜色 5 2" xfId="1799"/>
    <cellStyle name="强调文字颜色 5 2 2" xfId="1800"/>
    <cellStyle name="强调文字颜色 5 2 2 2" xfId="1801"/>
    <cellStyle name="强调文字颜色 5 2 3" xfId="1802"/>
    <cellStyle name="强调文字颜色 5 3" xfId="1803"/>
    <cellStyle name="强调文字颜色 5 3 2" xfId="1804"/>
    <cellStyle name="强调文字颜色 5 3 2 2" xfId="1805"/>
    <cellStyle name="强调文字颜色 5 3 3" xfId="1806"/>
    <cellStyle name="强调文字颜色 5 4" xfId="1807"/>
    <cellStyle name="强调文字颜色 5 4 2" xfId="1808"/>
    <cellStyle name="强调文字颜色 5 4 2 2" xfId="1809"/>
    <cellStyle name="强调文字颜色 5 4 3" xfId="1810"/>
    <cellStyle name="强调文字颜色 5 5" xfId="1811"/>
    <cellStyle name="强调文字颜色 5 5 2" xfId="1812"/>
    <cellStyle name="强调文字颜色 5 6" xfId="1813"/>
    <cellStyle name="强调文字颜色 5 6 2" xfId="1814"/>
    <cellStyle name="强调文字颜色 5 7" xfId="1815"/>
    <cellStyle name="强调文字颜色 5 7 2" xfId="1816"/>
    <cellStyle name="强调文字颜色 6 2" xfId="1817"/>
    <cellStyle name="强调文字颜色 6 2 2" xfId="1818"/>
    <cellStyle name="强调文字颜色 6 2 2 2" xfId="1819"/>
    <cellStyle name="强调文字颜色 6 2 3" xfId="1820"/>
    <cellStyle name="强调文字颜色 6 3" xfId="1821"/>
    <cellStyle name="强调文字颜色 6 3 2" xfId="1822"/>
    <cellStyle name="强调文字颜色 6 3 2 2" xfId="1823"/>
    <cellStyle name="强调文字颜色 6 3 3" xfId="1824"/>
    <cellStyle name="强调文字颜色 6 4" xfId="1825"/>
    <cellStyle name="强调文字颜色 6 4 2" xfId="1826"/>
    <cellStyle name="强调文字颜色 6 4 2 2" xfId="1827"/>
    <cellStyle name="强调文字颜色 6 4 3" xfId="1828"/>
    <cellStyle name="强调文字颜色 6 5" xfId="1829"/>
    <cellStyle name="强调文字颜色 6 5 2" xfId="1830"/>
    <cellStyle name="强调文字颜色 6 6" xfId="1831"/>
    <cellStyle name="强调文字颜色 6 6 2" xfId="1832"/>
    <cellStyle name="强调文字颜色 6 7" xfId="1833"/>
    <cellStyle name="强调文字颜色 6 7 2" xfId="1834"/>
    <cellStyle name="适中 2" xfId="1835"/>
    <cellStyle name="适中 2 2" xfId="1836"/>
    <cellStyle name="适中 2 2 2" xfId="1837"/>
    <cellStyle name="适中 2 3" xfId="1838"/>
    <cellStyle name="适中 3" xfId="1839"/>
    <cellStyle name="适中 3 2" xfId="1840"/>
    <cellStyle name="适中 3 2 2" xfId="1841"/>
    <cellStyle name="适中 3 3" xfId="1842"/>
    <cellStyle name="适中 4" xfId="1843"/>
    <cellStyle name="适中 4 2" xfId="1844"/>
    <cellStyle name="适中 4 2 2" xfId="1845"/>
    <cellStyle name="适中 4 3" xfId="1846"/>
    <cellStyle name="适中 5" xfId="1847"/>
    <cellStyle name="适中 5 2" xfId="1848"/>
    <cellStyle name="适中 6" xfId="1849"/>
    <cellStyle name="适中 6 2" xfId="1850"/>
    <cellStyle name="适中 7" xfId="1851"/>
    <cellStyle name="适中 7 2" xfId="1852"/>
    <cellStyle name="输出 2" xfId="1853"/>
    <cellStyle name="输出 2 2" xfId="1854"/>
    <cellStyle name="输出 2 2 2" xfId="1855"/>
    <cellStyle name="输出 2 3" xfId="1856"/>
    <cellStyle name="输出 3" xfId="1857"/>
    <cellStyle name="输出 3 2" xfId="1858"/>
    <cellStyle name="输出 3 2 2" xfId="1859"/>
    <cellStyle name="输出 3 3" xfId="1860"/>
    <cellStyle name="输出 4" xfId="1861"/>
    <cellStyle name="输出 4 2" xfId="1862"/>
    <cellStyle name="输出 4 2 2" xfId="1863"/>
    <cellStyle name="输出 4 3" xfId="1864"/>
    <cellStyle name="输出 5" xfId="1865"/>
    <cellStyle name="输出 5 2" xfId="1866"/>
    <cellStyle name="输出 6" xfId="1867"/>
    <cellStyle name="输出 6 2" xfId="1868"/>
    <cellStyle name="输出 7" xfId="1869"/>
    <cellStyle name="输出 7 2" xfId="1870"/>
    <cellStyle name="输入 2" xfId="1871"/>
    <cellStyle name="输入 2 2" xfId="1872"/>
    <cellStyle name="输入 2 2 2" xfId="1873"/>
    <cellStyle name="输入 2 3" xfId="1874"/>
    <cellStyle name="输入 3" xfId="1875"/>
    <cellStyle name="输入 3 2" xfId="1876"/>
    <cellStyle name="输入 3 2 2" xfId="1877"/>
    <cellStyle name="输入 3 3" xfId="1878"/>
    <cellStyle name="输入 4" xfId="1879"/>
    <cellStyle name="输入 4 2" xfId="1880"/>
    <cellStyle name="输入 4 2 2" xfId="1881"/>
    <cellStyle name="输入 4 3" xfId="1882"/>
    <cellStyle name="输入 5" xfId="1883"/>
    <cellStyle name="输入 5 2" xfId="1884"/>
    <cellStyle name="输入 6" xfId="1885"/>
    <cellStyle name="输入 6 2" xfId="1886"/>
    <cellStyle name="输入 7" xfId="1887"/>
    <cellStyle name="输入 7 2" xfId="1888"/>
    <cellStyle name="说明文本" xfId="1889"/>
    <cellStyle name="说明文本 2" xfId="1890"/>
    <cellStyle name="说明文本 2 2" xfId="1891"/>
    <cellStyle name="说明文本 2 2 2" xfId="1892"/>
    <cellStyle name="说明文本 2 3" xfId="1893"/>
    <cellStyle name="说明文本 3" xfId="1894"/>
    <cellStyle name="说明文本 3 2" xfId="1895"/>
    <cellStyle name="说明文本 4" xfId="1896"/>
    <cellStyle name="说明文本 4 2" xfId="1897"/>
    <cellStyle name="说明文本 5" xfId="1898"/>
    <cellStyle name="无色" xfId="1899"/>
    <cellStyle name="无色 2" xfId="1900"/>
    <cellStyle name="无色 2 2" xfId="1901"/>
    <cellStyle name="无色 2 2 2" xfId="1902"/>
    <cellStyle name="无色 2 3" xfId="1903"/>
    <cellStyle name="无色 3" xfId="1904"/>
    <cellStyle name="无色 3 2" xfId="1905"/>
    <cellStyle name="无色 4" xfId="1906"/>
    <cellStyle name="无色 4 2" xfId="1907"/>
    <cellStyle name="无色 5" xfId="1908"/>
    <cellStyle name="样式 1" xfId="1909"/>
    <cellStyle name="着色 1 2" xfId="1910"/>
    <cellStyle name="着色 1 2 2" xfId="1911"/>
    <cellStyle name="着色 1 2 2 2" xfId="1912"/>
    <cellStyle name="着色 1 2 3" xfId="1913"/>
    <cellStyle name="着色 1 3" xfId="1914"/>
    <cellStyle name="着色 1 3 2" xfId="1915"/>
    <cellStyle name="着色 1 4" xfId="1916"/>
    <cellStyle name="着色 1 4 2" xfId="1917"/>
    <cellStyle name="着色 1 5" xfId="1918"/>
    <cellStyle name="着色 2 2" xfId="1919"/>
    <cellStyle name="着色 2 2 2" xfId="1920"/>
    <cellStyle name="着色 2 2 2 2" xfId="1921"/>
    <cellStyle name="着色 2 2 3" xfId="1922"/>
    <cellStyle name="着色 2 3" xfId="1923"/>
    <cellStyle name="着色 2 3 2" xfId="1924"/>
    <cellStyle name="着色 2 4" xfId="1925"/>
    <cellStyle name="着色 2 4 2" xfId="1926"/>
    <cellStyle name="着色 2 5" xfId="1927"/>
    <cellStyle name="着色 3 2" xfId="1928"/>
    <cellStyle name="着色 3 2 2" xfId="1929"/>
    <cellStyle name="着色 3 2 2 2" xfId="1930"/>
    <cellStyle name="着色 3 2 3" xfId="1931"/>
    <cellStyle name="着色 3 3" xfId="1932"/>
    <cellStyle name="着色 3 3 2" xfId="1933"/>
    <cellStyle name="着色 3 4" xfId="1934"/>
    <cellStyle name="着色 3 4 2" xfId="1935"/>
    <cellStyle name="着色 3 5" xfId="1936"/>
    <cellStyle name="着色 4 2" xfId="1937"/>
    <cellStyle name="着色 4 2 2" xfId="1938"/>
    <cellStyle name="着色 4 2 2 2" xfId="1939"/>
    <cellStyle name="着色 4 2 3" xfId="1940"/>
    <cellStyle name="着色 4 3" xfId="1941"/>
    <cellStyle name="着色 4 3 2" xfId="1942"/>
    <cellStyle name="着色 4 4" xfId="1943"/>
    <cellStyle name="着色 4 4 2" xfId="1944"/>
    <cellStyle name="着色 4 5" xfId="1945"/>
    <cellStyle name="着色 5 2" xfId="1946"/>
    <cellStyle name="着色 5 2 2" xfId="1947"/>
    <cellStyle name="着色 5 2 2 2" xfId="1948"/>
    <cellStyle name="着色 5 2 3" xfId="1949"/>
    <cellStyle name="着色 5 3" xfId="1950"/>
    <cellStyle name="着色 5 3 2" xfId="1951"/>
    <cellStyle name="着色 5 4" xfId="1952"/>
    <cellStyle name="着色 5 4 2" xfId="1953"/>
    <cellStyle name="着色 5 5" xfId="1954"/>
    <cellStyle name="着色 6 2" xfId="1955"/>
    <cellStyle name="着色 6 2 2" xfId="1956"/>
    <cellStyle name="着色 6 2 2 2" xfId="1957"/>
    <cellStyle name="着色 6 2 3" xfId="1958"/>
    <cellStyle name="着色 6 3" xfId="1959"/>
    <cellStyle name="着色 6 3 2" xfId="1960"/>
    <cellStyle name="着色 6 4" xfId="1961"/>
    <cellStyle name="着色 6 4 2" xfId="1962"/>
    <cellStyle name="着色 6 5" xfId="1963"/>
    <cellStyle name="注释 2" xfId="1964"/>
    <cellStyle name="注释 2 2" xfId="1965"/>
    <cellStyle name="注释 2 2 2" xfId="1966"/>
    <cellStyle name="注释 2 2 2 2" xfId="1967"/>
    <cellStyle name="注释 2 2 3" xfId="1968"/>
    <cellStyle name="注释 2 3" xfId="1969"/>
    <cellStyle name="注释 2 3 2" xfId="1970"/>
    <cellStyle name="注释 2 4" xfId="1971"/>
    <cellStyle name="注释 3" xfId="1972"/>
    <cellStyle name="注释 3 2" xfId="1973"/>
    <cellStyle name="注释 3 2 2" xfId="1974"/>
    <cellStyle name="注释 3 2 2 2" xfId="1975"/>
    <cellStyle name="注释 3 2 3" xfId="1976"/>
    <cellStyle name="注释 3 3" xfId="1977"/>
    <cellStyle name="注释 3 3 2" xfId="1978"/>
    <cellStyle name="注释 3 4" xfId="1979"/>
    <cellStyle name="注释 4" xfId="1980"/>
    <cellStyle name="注释 4 2" xfId="1981"/>
    <cellStyle name="注释 4 2 2" xfId="1982"/>
    <cellStyle name="注释 4 2 2 2" xfId="1983"/>
    <cellStyle name="注释 4 2 3" xfId="1984"/>
    <cellStyle name="注释 4 3" xfId="1985"/>
    <cellStyle name="注释 4 3 2" xfId="1986"/>
    <cellStyle name="注释 4 4" xfId="1987"/>
    <cellStyle name="注释 5" xfId="1988"/>
    <cellStyle name="注释 5 2" xfId="1989"/>
    <cellStyle name="注释 5 2 2" xfId="1990"/>
    <cellStyle name="注释 5 3" xfId="1991"/>
    <cellStyle name="注释 6" xfId="1992"/>
    <cellStyle name="注释 6 2" xfId="1993"/>
    <cellStyle name="注释 6 2 2" xfId="1994"/>
    <cellStyle name="注释 6 3" xfId="1995"/>
    <cellStyle name="注释 7" xfId="1996"/>
    <cellStyle name="注释 7 2" xfId="1997"/>
    <cellStyle name="注释 7 2 2" xfId="1998"/>
    <cellStyle name="注释 7 3" xfId="19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56</xdr:row>
      <xdr:rowOff>19050</xdr:rowOff>
    </xdr:from>
    <xdr:to>
      <xdr:col>7</xdr:col>
      <xdr:colOff>723900</xdr:colOff>
      <xdr:row>56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91650" y="9582150"/>
          <a:ext cx="4667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723900</xdr:colOff>
      <xdr:row>56</xdr:row>
      <xdr:rowOff>19050</xdr:rowOff>
    </xdr:from>
    <xdr:to>
      <xdr:col>7</xdr:col>
      <xdr:colOff>723900</xdr:colOff>
      <xdr:row>56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91650" y="958215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1;&#23453;&#38215;2024&#24180;&#38215;&#32423;&#32479;&#31609;&#19968;&#27425;&#20998;&#37197;&#21021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七宝镇"/>
      <sheetName val="七宝"/>
      <sheetName val="残疾就业保障"/>
      <sheetName val="抚恤金"/>
      <sheetName val="补充公用经费"/>
      <sheetName val="公办义务教育减免书薄费"/>
      <sheetName val="公办义务教育资助"/>
      <sheetName val="公办义务教育营养午餐"/>
      <sheetName val="公办学前资助"/>
      <sheetName val="社区教育"/>
      <sheetName val="社区教育志愿者联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/D:\Documents\Downloads\&#32489;&#25928;&#24037;&#36164;\2013&#32489;&#25928;\&#19978;&#25253;&#20154;&#20445;&#23616;&#25991;&#20214;\2013&#32489;&#25928;\2013.8&#26631;&#20934;&#35843;&#25972;\2013&#32489;&#25928;\2013&#32489;&#25928;\&#26700;&#38754;\&#26700;&#38754;&#22791;&#20221;2012.12.28\2013&#32489;&#25928;\2012&#20041;&#21153;&#25945;&#32946;&#32489;&#25928;\&#24180;&#24213;&#24635;&#37327;\&#23398;&#26657;\&#26126;&#24378;&#20108;&#23567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C16" sqref="C16"/>
    </sheetView>
  </sheetViews>
  <sheetFormatPr defaultColWidth="9" defaultRowHeight="13.5"/>
  <cols>
    <col min="1" max="1" width="10.625" style="84" customWidth="1"/>
    <col min="2" max="2" width="30.625" style="180" customWidth="1"/>
    <col min="3" max="3" width="30.625" style="84" customWidth="1"/>
    <col min="4" max="4" width="20.5" style="84" bestFit="1" customWidth="1"/>
    <col min="5" max="5" width="18.625" style="84" hidden="1" customWidth="1"/>
    <col min="6" max="6" width="18.375" style="84" bestFit="1" customWidth="1"/>
    <col min="7" max="7" width="14.375" style="84" hidden="1" customWidth="1"/>
    <col min="8" max="8" width="14.25" style="84" hidden="1" customWidth="1"/>
    <col min="9" max="252" width="9" style="84"/>
    <col min="253" max="253" width="6.625" style="84" customWidth="1"/>
    <col min="254" max="255" width="21.625" style="84" customWidth="1"/>
    <col min="256" max="256" width="16.125" style="84" bestFit="1" customWidth="1"/>
    <col min="257" max="257" width="13.875" style="84" bestFit="1" customWidth="1"/>
    <col min="258" max="258" width="17.25" style="84" bestFit="1" customWidth="1"/>
    <col min="259" max="260" width="20.5" style="84" bestFit="1" customWidth="1"/>
    <col min="261" max="261" width="0" style="84" hidden="1" customWidth="1"/>
    <col min="262" max="262" width="18.375" style="84" bestFit="1" customWidth="1"/>
    <col min="263" max="264" width="0" style="84" hidden="1" customWidth="1"/>
    <col min="265" max="508" width="9" style="84"/>
    <col min="509" max="509" width="6.625" style="84" customWidth="1"/>
    <col min="510" max="511" width="21.625" style="84" customWidth="1"/>
    <col min="512" max="512" width="16.125" style="84" bestFit="1" customWidth="1"/>
    <col min="513" max="513" width="13.875" style="84" bestFit="1" customWidth="1"/>
    <col min="514" max="514" width="17.25" style="84" bestFit="1" customWidth="1"/>
    <col min="515" max="516" width="20.5" style="84" bestFit="1" customWidth="1"/>
    <col min="517" max="517" width="0" style="84" hidden="1" customWidth="1"/>
    <col min="518" max="518" width="18.375" style="84" bestFit="1" customWidth="1"/>
    <col min="519" max="520" width="0" style="84" hidden="1" customWidth="1"/>
    <col min="521" max="764" width="9" style="84"/>
    <col min="765" max="765" width="6.625" style="84" customWidth="1"/>
    <col min="766" max="767" width="21.625" style="84" customWidth="1"/>
    <col min="768" max="768" width="16.125" style="84" bestFit="1" customWidth="1"/>
    <col min="769" max="769" width="13.875" style="84" bestFit="1" customWidth="1"/>
    <col min="770" max="770" width="17.25" style="84" bestFit="1" customWidth="1"/>
    <col min="771" max="772" width="20.5" style="84" bestFit="1" customWidth="1"/>
    <col min="773" max="773" width="0" style="84" hidden="1" customWidth="1"/>
    <col min="774" max="774" width="18.375" style="84" bestFit="1" customWidth="1"/>
    <col min="775" max="776" width="0" style="84" hidden="1" customWidth="1"/>
    <col min="777" max="1020" width="9" style="84"/>
    <col min="1021" max="1021" width="6.625" style="84" customWidth="1"/>
    <col min="1022" max="1023" width="21.625" style="84" customWidth="1"/>
    <col min="1024" max="1024" width="16.125" style="84" bestFit="1" customWidth="1"/>
    <col min="1025" max="1025" width="13.875" style="84" bestFit="1" customWidth="1"/>
    <col min="1026" max="1026" width="17.25" style="84" bestFit="1" customWidth="1"/>
    <col min="1027" max="1028" width="20.5" style="84" bestFit="1" customWidth="1"/>
    <col min="1029" max="1029" width="0" style="84" hidden="1" customWidth="1"/>
    <col min="1030" max="1030" width="18.375" style="84" bestFit="1" customWidth="1"/>
    <col min="1031" max="1032" width="0" style="84" hidden="1" customWidth="1"/>
    <col min="1033" max="1276" width="9" style="84"/>
    <col min="1277" max="1277" width="6.625" style="84" customWidth="1"/>
    <col min="1278" max="1279" width="21.625" style="84" customWidth="1"/>
    <col min="1280" max="1280" width="16.125" style="84" bestFit="1" customWidth="1"/>
    <col min="1281" max="1281" width="13.875" style="84" bestFit="1" customWidth="1"/>
    <col min="1282" max="1282" width="17.25" style="84" bestFit="1" customWidth="1"/>
    <col min="1283" max="1284" width="20.5" style="84" bestFit="1" customWidth="1"/>
    <col min="1285" max="1285" width="0" style="84" hidden="1" customWidth="1"/>
    <col min="1286" max="1286" width="18.375" style="84" bestFit="1" customWidth="1"/>
    <col min="1287" max="1288" width="0" style="84" hidden="1" customWidth="1"/>
    <col min="1289" max="1532" width="9" style="84"/>
    <col min="1533" max="1533" width="6.625" style="84" customWidth="1"/>
    <col min="1534" max="1535" width="21.625" style="84" customWidth="1"/>
    <col min="1536" max="1536" width="16.125" style="84" bestFit="1" customWidth="1"/>
    <col min="1537" max="1537" width="13.875" style="84" bestFit="1" customWidth="1"/>
    <col min="1538" max="1538" width="17.25" style="84" bestFit="1" customWidth="1"/>
    <col min="1539" max="1540" width="20.5" style="84" bestFit="1" customWidth="1"/>
    <col min="1541" max="1541" width="0" style="84" hidden="1" customWidth="1"/>
    <col min="1542" max="1542" width="18.375" style="84" bestFit="1" customWidth="1"/>
    <col min="1543" max="1544" width="0" style="84" hidden="1" customWidth="1"/>
    <col min="1545" max="1788" width="9" style="84"/>
    <col min="1789" max="1789" width="6.625" style="84" customWidth="1"/>
    <col min="1790" max="1791" width="21.625" style="84" customWidth="1"/>
    <col min="1792" max="1792" width="16.125" style="84" bestFit="1" customWidth="1"/>
    <col min="1793" max="1793" width="13.875" style="84" bestFit="1" customWidth="1"/>
    <col min="1794" max="1794" width="17.25" style="84" bestFit="1" customWidth="1"/>
    <col min="1795" max="1796" width="20.5" style="84" bestFit="1" customWidth="1"/>
    <col min="1797" max="1797" width="0" style="84" hidden="1" customWidth="1"/>
    <col min="1798" max="1798" width="18.375" style="84" bestFit="1" customWidth="1"/>
    <col min="1799" max="1800" width="0" style="84" hidden="1" customWidth="1"/>
    <col min="1801" max="2044" width="9" style="84"/>
    <col min="2045" max="2045" width="6.625" style="84" customWidth="1"/>
    <col min="2046" max="2047" width="21.625" style="84" customWidth="1"/>
    <col min="2048" max="2048" width="16.125" style="84" bestFit="1" customWidth="1"/>
    <col min="2049" max="2049" width="13.875" style="84" bestFit="1" customWidth="1"/>
    <col min="2050" max="2050" width="17.25" style="84" bestFit="1" customWidth="1"/>
    <col min="2051" max="2052" width="20.5" style="84" bestFit="1" customWidth="1"/>
    <col min="2053" max="2053" width="0" style="84" hidden="1" customWidth="1"/>
    <col min="2054" max="2054" width="18.375" style="84" bestFit="1" customWidth="1"/>
    <col min="2055" max="2056" width="0" style="84" hidden="1" customWidth="1"/>
    <col min="2057" max="2300" width="9" style="84"/>
    <col min="2301" max="2301" width="6.625" style="84" customWidth="1"/>
    <col min="2302" max="2303" width="21.625" style="84" customWidth="1"/>
    <col min="2304" max="2304" width="16.125" style="84" bestFit="1" customWidth="1"/>
    <col min="2305" max="2305" width="13.875" style="84" bestFit="1" customWidth="1"/>
    <col min="2306" max="2306" width="17.25" style="84" bestFit="1" customWidth="1"/>
    <col min="2307" max="2308" width="20.5" style="84" bestFit="1" customWidth="1"/>
    <col min="2309" max="2309" width="0" style="84" hidden="1" customWidth="1"/>
    <col min="2310" max="2310" width="18.375" style="84" bestFit="1" customWidth="1"/>
    <col min="2311" max="2312" width="0" style="84" hidden="1" customWidth="1"/>
    <col min="2313" max="2556" width="9" style="84"/>
    <col min="2557" max="2557" width="6.625" style="84" customWidth="1"/>
    <col min="2558" max="2559" width="21.625" style="84" customWidth="1"/>
    <col min="2560" max="2560" width="16.125" style="84" bestFit="1" customWidth="1"/>
    <col min="2561" max="2561" width="13.875" style="84" bestFit="1" customWidth="1"/>
    <col min="2562" max="2562" width="17.25" style="84" bestFit="1" customWidth="1"/>
    <col min="2563" max="2564" width="20.5" style="84" bestFit="1" customWidth="1"/>
    <col min="2565" max="2565" width="0" style="84" hidden="1" customWidth="1"/>
    <col min="2566" max="2566" width="18.375" style="84" bestFit="1" customWidth="1"/>
    <col min="2567" max="2568" width="0" style="84" hidden="1" customWidth="1"/>
    <col min="2569" max="2812" width="9" style="84"/>
    <col min="2813" max="2813" width="6.625" style="84" customWidth="1"/>
    <col min="2814" max="2815" width="21.625" style="84" customWidth="1"/>
    <col min="2816" max="2816" width="16.125" style="84" bestFit="1" customWidth="1"/>
    <col min="2817" max="2817" width="13.875" style="84" bestFit="1" customWidth="1"/>
    <col min="2818" max="2818" width="17.25" style="84" bestFit="1" customWidth="1"/>
    <col min="2819" max="2820" width="20.5" style="84" bestFit="1" customWidth="1"/>
    <col min="2821" max="2821" width="0" style="84" hidden="1" customWidth="1"/>
    <col min="2822" max="2822" width="18.375" style="84" bestFit="1" customWidth="1"/>
    <col min="2823" max="2824" width="0" style="84" hidden="1" customWidth="1"/>
    <col min="2825" max="3068" width="9" style="84"/>
    <col min="3069" max="3069" width="6.625" style="84" customWidth="1"/>
    <col min="3070" max="3071" width="21.625" style="84" customWidth="1"/>
    <col min="3072" max="3072" width="16.125" style="84" bestFit="1" customWidth="1"/>
    <col min="3073" max="3073" width="13.875" style="84" bestFit="1" customWidth="1"/>
    <col min="3074" max="3074" width="17.25" style="84" bestFit="1" customWidth="1"/>
    <col min="3075" max="3076" width="20.5" style="84" bestFit="1" customWidth="1"/>
    <col min="3077" max="3077" width="0" style="84" hidden="1" customWidth="1"/>
    <col min="3078" max="3078" width="18.375" style="84" bestFit="1" customWidth="1"/>
    <col min="3079" max="3080" width="0" style="84" hidden="1" customWidth="1"/>
    <col min="3081" max="3324" width="9" style="84"/>
    <col min="3325" max="3325" width="6.625" style="84" customWidth="1"/>
    <col min="3326" max="3327" width="21.625" style="84" customWidth="1"/>
    <col min="3328" max="3328" width="16.125" style="84" bestFit="1" customWidth="1"/>
    <col min="3329" max="3329" width="13.875" style="84" bestFit="1" customWidth="1"/>
    <col min="3330" max="3330" width="17.25" style="84" bestFit="1" customWidth="1"/>
    <col min="3331" max="3332" width="20.5" style="84" bestFit="1" customWidth="1"/>
    <col min="3333" max="3333" width="0" style="84" hidden="1" customWidth="1"/>
    <col min="3334" max="3334" width="18.375" style="84" bestFit="1" customWidth="1"/>
    <col min="3335" max="3336" width="0" style="84" hidden="1" customWidth="1"/>
    <col min="3337" max="3580" width="9" style="84"/>
    <col min="3581" max="3581" width="6.625" style="84" customWidth="1"/>
    <col min="3582" max="3583" width="21.625" style="84" customWidth="1"/>
    <col min="3584" max="3584" width="16.125" style="84" bestFit="1" customWidth="1"/>
    <col min="3585" max="3585" width="13.875" style="84" bestFit="1" customWidth="1"/>
    <col min="3586" max="3586" width="17.25" style="84" bestFit="1" customWidth="1"/>
    <col min="3587" max="3588" width="20.5" style="84" bestFit="1" customWidth="1"/>
    <col min="3589" max="3589" width="0" style="84" hidden="1" customWidth="1"/>
    <col min="3590" max="3590" width="18.375" style="84" bestFit="1" customWidth="1"/>
    <col min="3591" max="3592" width="0" style="84" hidden="1" customWidth="1"/>
    <col min="3593" max="3836" width="9" style="84"/>
    <col min="3837" max="3837" width="6.625" style="84" customWidth="1"/>
    <col min="3838" max="3839" width="21.625" style="84" customWidth="1"/>
    <col min="3840" max="3840" width="16.125" style="84" bestFit="1" customWidth="1"/>
    <col min="3841" max="3841" width="13.875" style="84" bestFit="1" customWidth="1"/>
    <col min="3842" max="3842" width="17.25" style="84" bestFit="1" customWidth="1"/>
    <col min="3843" max="3844" width="20.5" style="84" bestFit="1" customWidth="1"/>
    <col min="3845" max="3845" width="0" style="84" hidden="1" customWidth="1"/>
    <col min="3846" max="3846" width="18.375" style="84" bestFit="1" customWidth="1"/>
    <col min="3847" max="3848" width="0" style="84" hidden="1" customWidth="1"/>
    <col min="3849" max="4092" width="9" style="84"/>
    <col min="4093" max="4093" width="6.625" style="84" customWidth="1"/>
    <col min="4094" max="4095" width="21.625" style="84" customWidth="1"/>
    <col min="4096" max="4096" width="16.125" style="84" bestFit="1" customWidth="1"/>
    <col min="4097" max="4097" width="13.875" style="84" bestFit="1" customWidth="1"/>
    <col min="4098" max="4098" width="17.25" style="84" bestFit="1" customWidth="1"/>
    <col min="4099" max="4100" width="20.5" style="84" bestFit="1" customWidth="1"/>
    <col min="4101" max="4101" width="0" style="84" hidden="1" customWidth="1"/>
    <col min="4102" max="4102" width="18.375" style="84" bestFit="1" customWidth="1"/>
    <col min="4103" max="4104" width="0" style="84" hidden="1" customWidth="1"/>
    <col min="4105" max="4348" width="9" style="84"/>
    <col min="4349" max="4349" width="6.625" style="84" customWidth="1"/>
    <col min="4350" max="4351" width="21.625" style="84" customWidth="1"/>
    <col min="4352" max="4352" width="16.125" style="84" bestFit="1" customWidth="1"/>
    <col min="4353" max="4353" width="13.875" style="84" bestFit="1" customWidth="1"/>
    <col min="4354" max="4354" width="17.25" style="84" bestFit="1" customWidth="1"/>
    <col min="4355" max="4356" width="20.5" style="84" bestFit="1" customWidth="1"/>
    <col min="4357" max="4357" width="0" style="84" hidden="1" customWidth="1"/>
    <col min="4358" max="4358" width="18.375" style="84" bestFit="1" customWidth="1"/>
    <col min="4359" max="4360" width="0" style="84" hidden="1" customWidth="1"/>
    <col min="4361" max="4604" width="9" style="84"/>
    <col min="4605" max="4605" width="6.625" style="84" customWidth="1"/>
    <col min="4606" max="4607" width="21.625" style="84" customWidth="1"/>
    <col min="4608" max="4608" width="16.125" style="84" bestFit="1" customWidth="1"/>
    <col min="4609" max="4609" width="13.875" style="84" bestFit="1" customWidth="1"/>
    <col min="4610" max="4610" width="17.25" style="84" bestFit="1" customWidth="1"/>
    <col min="4611" max="4612" width="20.5" style="84" bestFit="1" customWidth="1"/>
    <col min="4613" max="4613" width="0" style="84" hidden="1" customWidth="1"/>
    <col min="4614" max="4614" width="18.375" style="84" bestFit="1" customWidth="1"/>
    <col min="4615" max="4616" width="0" style="84" hidden="1" customWidth="1"/>
    <col min="4617" max="4860" width="9" style="84"/>
    <col min="4861" max="4861" width="6.625" style="84" customWidth="1"/>
    <col min="4862" max="4863" width="21.625" style="84" customWidth="1"/>
    <col min="4864" max="4864" width="16.125" style="84" bestFit="1" customWidth="1"/>
    <col min="4865" max="4865" width="13.875" style="84" bestFit="1" customWidth="1"/>
    <col min="4866" max="4866" width="17.25" style="84" bestFit="1" customWidth="1"/>
    <col min="4867" max="4868" width="20.5" style="84" bestFit="1" customWidth="1"/>
    <col min="4869" max="4869" width="0" style="84" hidden="1" customWidth="1"/>
    <col min="4870" max="4870" width="18.375" style="84" bestFit="1" customWidth="1"/>
    <col min="4871" max="4872" width="0" style="84" hidden="1" customWidth="1"/>
    <col min="4873" max="5116" width="9" style="84"/>
    <col min="5117" max="5117" width="6.625" style="84" customWidth="1"/>
    <col min="5118" max="5119" width="21.625" style="84" customWidth="1"/>
    <col min="5120" max="5120" width="16.125" style="84" bestFit="1" customWidth="1"/>
    <col min="5121" max="5121" width="13.875" style="84" bestFit="1" customWidth="1"/>
    <col min="5122" max="5122" width="17.25" style="84" bestFit="1" customWidth="1"/>
    <col min="5123" max="5124" width="20.5" style="84" bestFit="1" customWidth="1"/>
    <col min="5125" max="5125" width="0" style="84" hidden="1" customWidth="1"/>
    <col min="5126" max="5126" width="18.375" style="84" bestFit="1" customWidth="1"/>
    <col min="5127" max="5128" width="0" style="84" hidden="1" customWidth="1"/>
    <col min="5129" max="5372" width="9" style="84"/>
    <col min="5373" max="5373" width="6.625" style="84" customWidth="1"/>
    <col min="5374" max="5375" width="21.625" style="84" customWidth="1"/>
    <col min="5376" max="5376" width="16.125" style="84" bestFit="1" customWidth="1"/>
    <col min="5377" max="5377" width="13.875" style="84" bestFit="1" customWidth="1"/>
    <col min="5378" max="5378" width="17.25" style="84" bestFit="1" customWidth="1"/>
    <col min="5379" max="5380" width="20.5" style="84" bestFit="1" customWidth="1"/>
    <col min="5381" max="5381" width="0" style="84" hidden="1" customWidth="1"/>
    <col min="5382" max="5382" width="18.375" style="84" bestFit="1" customWidth="1"/>
    <col min="5383" max="5384" width="0" style="84" hidden="1" customWidth="1"/>
    <col min="5385" max="5628" width="9" style="84"/>
    <col min="5629" max="5629" width="6.625" style="84" customWidth="1"/>
    <col min="5630" max="5631" width="21.625" style="84" customWidth="1"/>
    <col min="5632" max="5632" width="16.125" style="84" bestFit="1" customWidth="1"/>
    <col min="5633" max="5633" width="13.875" style="84" bestFit="1" customWidth="1"/>
    <col min="5634" max="5634" width="17.25" style="84" bestFit="1" customWidth="1"/>
    <col min="5635" max="5636" width="20.5" style="84" bestFit="1" customWidth="1"/>
    <col min="5637" max="5637" width="0" style="84" hidden="1" customWidth="1"/>
    <col min="5638" max="5638" width="18.375" style="84" bestFit="1" customWidth="1"/>
    <col min="5639" max="5640" width="0" style="84" hidden="1" customWidth="1"/>
    <col min="5641" max="5884" width="9" style="84"/>
    <col min="5885" max="5885" width="6.625" style="84" customWidth="1"/>
    <col min="5886" max="5887" width="21.625" style="84" customWidth="1"/>
    <col min="5888" max="5888" width="16.125" style="84" bestFit="1" customWidth="1"/>
    <col min="5889" max="5889" width="13.875" style="84" bestFit="1" customWidth="1"/>
    <col min="5890" max="5890" width="17.25" style="84" bestFit="1" customWidth="1"/>
    <col min="5891" max="5892" width="20.5" style="84" bestFit="1" customWidth="1"/>
    <col min="5893" max="5893" width="0" style="84" hidden="1" customWidth="1"/>
    <col min="5894" max="5894" width="18.375" style="84" bestFit="1" customWidth="1"/>
    <col min="5895" max="5896" width="0" style="84" hidden="1" customWidth="1"/>
    <col min="5897" max="6140" width="9" style="84"/>
    <col min="6141" max="6141" width="6.625" style="84" customWidth="1"/>
    <col min="6142" max="6143" width="21.625" style="84" customWidth="1"/>
    <col min="6144" max="6144" width="16.125" style="84" bestFit="1" customWidth="1"/>
    <col min="6145" max="6145" width="13.875" style="84" bestFit="1" customWidth="1"/>
    <col min="6146" max="6146" width="17.25" style="84" bestFit="1" customWidth="1"/>
    <col min="6147" max="6148" width="20.5" style="84" bestFit="1" customWidth="1"/>
    <col min="6149" max="6149" width="0" style="84" hidden="1" customWidth="1"/>
    <col min="6150" max="6150" width="18.375" style="84" bestFit="1" customWidth="1"/>
    <col min="6151" max="6152" width="0" style="84" hidden="1" customWidth="1"/>
    <col min="6153" max="6396" width="9" style="84"/>
    <col min="6397" max="6397" width="6.625" style="84" customWidth="1"/>
    <col min="6398" max="6399" width="21.625" style="84" customWidth="1"/>
    <col min="6400" max="6400" width="16.125" style="84" bestFit="1" customWidth="1"/>
    <col min="6401" max="6401" width="13.875" style="84" bestFit="1" customWidth="1"/>
    <col min="6402" max="6402" width="17.25" style="84" bestFit="1" customWidth="1"/>
    <col min="6403" max="6404" width="20.5" style="84" bestFit="1" customWidth="1"/>
    <col min="6405" max="6405" width="0" style="84" hidden="1" customWidth="1"/>
    <col min="6406" max="6406" width="18.375" style="84" bestFit="1" customWidth="1"/>
    <col min="6407" max="6408" width="0" style="84" hidden="1" customWidth="1"/>
    <col min="6409" max="6652" width="9" style="84"/>
    <col min="6653" max="6653" width="6.625" style="84" customWidth="1"/>
    <col min="6654" max="6655" width="21.625" style="84" customWidth="1"/>
    <col min="6656" max="6656" width="16.125" style="84" bestFit="1" customWidth="1"/>
    <col min="6657" max="6657" width="13.875" style="84" bestFit="1" customWidth="1"/>
    <col min="6658" max="6658" width="17.25" style="84" bestFit="1" customWidth="1"/>
    <col min="6659" max="6660" width="20.5" style="84" bestFit="1" customWidth="1"/>
    <col min="6661" max="6661" width="0" style="84" hidden="1" customWidth="1"/>
    <col min="6662" max="6662" width="18.375" style="84" bestFit="1" customWidth="1"/>
    <col min="6663" max="6664" width="0" style="84" hidden="1" customWidth="1"/>
    <col min="6665" max="6908" width="9" style="84"/>
    <col min="6909" max="6909" width="6.625" style="84" customWidth="1"/>
    <col min="6910" max="6911" width="21.625" style="84" customWidth="1"/>
    <col min="6912" max="6912" width="16.125" style="84" bestFit="1" customWidth="1"/>
    <col min="6913" max="6913" width="13.875" style="84" bestFit="1" customWidth="1"/>
    <col min="6914" max="6914" width="17.25" style="84" bestFit="1" customWidth="1"/>
    <col min="6915" max="6916" width="20.5" style="84" bestFit="1" customWidth="1"/>
    <col min="6917" max="6917" width="0" style="84" hidden="1" customWidth="1"/>
    <col min="6918" max="6918" width="18.375" style="84" bestFit="1" customWidth="1"/>
    <col min="6919" max="6920" width="0" style="84" hidden="1" customWidth="1"/>
    <col min="6921" max="7164" width="9" style="84"/>
    <col min="7165" max="7165" width="6.625" style="84" customWidth="1"/>
    <col min="7166" max="7167" width="21.625" style="84" customWidth="1"/>
    <col min="7168" max="7168" width="16.125" style="84" bestFit="1" customWidth="1"/>
    <col min="7169" max="7169" width="13.875" style="84" bestFit="1" customWidth="1"/>
    <col min="7170" max="7170" width="17.25" style="84" bestFit="1" customWidth="1"/>
    <col min="7171" max="7172" width="20.5" style="84" bestFit="1" customWidth="1"/>
    <col min="7173" max="7173" width="0" style="84" hidden="1" customWidth="1"/>
    <col min="7174" max="7174" width="18.375" style="84" bestFit="1" customWidth="1"/>
    <col min="7175" max="7176" width="0" style="84" hidden="1" customWidth="1"/>
    <col min="7177" max="7420" width="9" style="84"/>
    <col min="7421" max="7421" width="6.625" style="84" customWidth="1"/>
    <col min="7422" max="7423" width="21.625" style="84" customWidth="1"/>
    <col min="7424" max="7424" width="16.125" style="84" bestFit="1" customWidth="1"/>
    <col min="7425" max="7425" width="13.875" style="84" bestFit="1" customWidth="1"/>
    <col min="7426" max="7426" width="17.25" style="84" bestFit="1" customWidth="1"/>
    <col min="7427" max="7428" width="20.5" style="84" bestFit="1" customWidth="1"/>
    <col min="7429" max="7429" width="0" style="84" hidden="1" customWidth="1"/>
    <col min="7430" max="7430" width="18.375" style="84" bestFit="1" customWidth="1"/>
    <col min="7431" max="7432" width="0" style="84" hidden="1" customWidth="1"/>
    <col min="7433" max="7676" width="9" style="84"/>
    <col min="7677" max="7677" width="6.625" style="84" customWidth="1"/>
    <col min="7678" max="7679" width="21.625" style="84" customWidth="1"/>
    <col min="7680" max="7680" width="16.125" style="84" bestFit="1" customWidth="1"/>
    <col min="7681" max="7681" width="13.875" style="84" bestFit="1" customWidth="1"/>
    <col min="7682" max="7682" width="17.25" style="84" bestFit="1" customWidth="1"/>
    <col min="7683" max="7684" width="20.5" style="84" bestFit="1" customWidth="1"/>
    <col min="7685" max="7685" width="0" style="84" hidden="1" customWidth="1"/>
    <col min="7686" max="7686" width="18.375" style="84" bestFit="1" customWidth="1"/>
    <col min="7687" max="7688" width="0" style="84" hidden="1" customWidth="1"/>
    <col min="7689" max="7932" width="9" style="84"/>
    <col min="7933" max="7933" width="6.625" style="84" customWidth="1"/>
    <col min="7934" max="7935" width="21.625" style="84" customWidth="1"/>
    <col min="7936" max="7936" width="16.125" style="84" bestFit="1" customWidth="1"/>
    <col min="7937" max="7937" width="13.875" style="84" bestFit="1" customWidth="1"/>
    <col min="7938" max="7938" width="17.25" style="84" bestFit="1" customWidth="1"/>
    <col min="7939" max="7940" width="20.5" style="84" bestFit="1" customWidth="1"/>
    <col min="7941" max="7941" width="0" style="84" hidden="1" customWidth="1"/>
    <col min="7942" max="7942" width="18.375" style="84" bestFit="1" customWidth="1"/>
    <col min="7943" max="7944" width="0" style="84" hidden="1" customWidth="1"/>
    <col min="7945" max="8188" width="9" style="84"/>
    <col min="8189" max="8189" width="6.625" style="84" customWidth="1"/>
    <col min="8190" max="8191" width="21.625" style="84" customWidth="1"/>
    <col min="8192" max="8192" width="16.125" style="84" bestFit="1" customWidth="1"/>
    <col min="8193" max="8193" width="13.875" style="84" bestFit="1" customWidth="1"/>
    <col min="8194" max="8194" width="17.25" style="84" bestFit="1" customWidth="1"/>
    <col min="8195" max="8196" width="20.5" style="84" bestFit="1" customWidth="1"/>
    <col min="8197" max="8197" width="0" style="84" hidden="1" customWidth="1"/>
    <col min="8198" max="8198" width="18.375" style="84" bestFit="1" customWidth="1"/>
    <col min="8199" max="8200" width="0" style="84" hidden="1" customWidth="1"/>
    <col min="8201" max="8444" width="9" style="84"/>
    <col min="8445" max="8445" width="6.625" style="84" customWidth="1"/>
    <col min="8446" max="8447" width="21.625" style="84" customWidth="1"/>
    <col min="8448" max="8448" width="16.125" style="84" bestFit="1" customWidth="1"/>
    <col min="8449" max="8449" width="13.875" style="84" bestFit="1" customWidth="1"/>
    <col min="8450" max="8450" width="17.25" style="84" bestFit="1" customWidth="1"/>
    <col min="8451" max="8452" width="20.5" style="84" bestFit="1" customWidth="1"/>
    <col min="8453" max="8453" width="0" style="84" hidden="1" customWidth="1"/>
    <col min="8454" max="8454" width="18.375" style="84" bestFit="1" customWidth="1"/>
    <col min="8455" max="8456" width="0" style="84" hidden="1" customWidth="1"/>
    <col min="8457" max="8700" width="9" style="84"/>
    <col min="8701" max="8701" width="6.625" style="84" customWidth="1"/>
    <col min="8702" max="8703" width="21.625" style="84" customWidth="1"/>
    <col min="8704" max="8704" width="16.125" style="84" bestFit="1" customWidth="1"/>
    <col min="8705" max="8705" width="13.875" style="84" bestFit="1" customWidth="1"/>
    <col min="8706" max="8706" width="17.25" style="84" bestFit="1" customWidth="1"/>
    <col min="8707" max="8708" width="20.5" style="84" bestFit="1" customWidth="1"/>
    <col min="8709" max="8709" width="0" style="84" hidden="1" customWidth="1"/>
    <col min="8710" max="8710" width="18.375" style="84" bestFit="1" customWidth="1"/>
    <col min="8711" max="8712" width="0" style="84" hidden="1" customWidth="1"/>
    <col min="8713" max="8956" width="9" style="84"/>
    <col min="8957" max="8957" width="6.625" style="84" customWidth="1"/>
    <col min="8958" max="8959" width="21.625" style="84" customWidth="1"/>
    <col min="8960" max="8960" width="16.125" style="84" bestFit="1" customWidth="1"/>
    <col min="8961" max="8961" width="13.875" style="84" bestFit="1" customWidth="1"/>
    <col min="8962" max="8962" width="17.25" style="84" bestFit="1" customWidth="1"/>
    <col min="8963" max="8964" width="20.5" style="84" bestFit="1" customWidth="1"/>
    <col min="8965" max="8965" width="0" style="84" hidden="1" customWidth="1"/>
    <col min="8966" max="8966" width="18.375" style="84" bestFit="1" customWidth="1"/>
    <col min="8967" max="8968" width="0" style="84" hidden="1" customWidth="1"/>
    <col min="8969" max="9212" width="9" style="84"/>
    <col min="9213" max="9213" width="6.625" style="84" customWidth="1"/>
    <col min="9214" max="9215" width="21.625" style="84" customWidth="1"/>
    <col min="9216" max="9216" width="16.125" style="84" bestFit="1" customWidth="1"/>
    <col min="9217" max="9217" width="13.875" style="84" bestFit="1" customWidth="1"/>
    <col min="9218" max="9218" width="17.25" style="84" bestFit="1" customWidth="1"/>
    <col min="9219" max="9220" width="20.5" style="84" bestFit="1" customWidth="1"/>
    <col min="9221" max="9221" width="0" style="84" hidden="1" customWidth="1"/>
    <col min="9222" max="9222" width="18.375" style="84" bestFit="1" customWidth="1"/>
    <col min="9223" max="9224" width="0" style="84" hidden="1" customWidth="1"/>
    <col min="9225" max="9468" width="9" style="84"/>
    <col min="9469" max="9469" width="6.625" style="84" customWidth="1"/>
    <col min="9470" max="9471" width="21.625" style="84" customWidth="1"/>
    <col min="9472" max="9472" width="16.125" style="84" bestFit="1" customWidth="1"/>
    <col min="9473" max="9473" width="13.875" style="84" bestFit="1" customWidth="1"/>
    <col min="9474" max="9474" width="17.25" style="84" bestFit="1" customWidth="1"/>
    <col min="9475" max="9476" width="20.5" style="84" bestFit="1" customWidth="1"/>
    <col min="9477" max="9477" width="0" style="84" hidden="1" customWidth="1"/>
    <col min="9478" max="9478" width="18.375" style="84" bestFit="1" customWidth="1"/>
    <col min="9479" max="9480" width="0" style="84" hidden="1" customWidth="1"/>
    <col min="9481" max="9724" width="9" style="84"/>
    <col min="9725" max="9725" width="6.625" style="84" customWidth="1"/>
    <col min="9726" max="9727" width="21.625" style="84" customWidth="1"/>
    <col min="9728" max="9728" width="16.125" style="84" bestFit="1" customWidth="1"/>
    <col min="9729" max="9729" width="13.875" style="84" bestFit="1" customWidth="1"/>
    <col min="9730" max="9730" width="17.25" style="84" bestFit="1" customWidth="1"/>
    <col min="9731" max="9732" width="20.5" style="84" bestFit="1" customWidth="1"/>
    <col min="9733" max="9733" width="0" style="84" hidden="1" customWidth="1"/>
    <col min="9734" max="9734" width="18.375" style="84" bestFit="1" customWidth="1"/>
    <col min="9735" max="9736" width="0" style="84" hidden="1" customWidth="1"/>
    <col min="9737" max="9980" width="9" style="84"/>
    <col min="9981" max="9981" width="6.625" style="84" customWidth="1"/>
    <col min="9982" max="9983" width="21.625" style="84" customWidth="1"/>
    <col min="9984" max="9984" width="16.125" style="84" bestFit="1" customWidth="1"/>
    <col min="9985" max="9985" width="13.875" style="84" bestFit="1" customWidth="1"/>
    <col min="9986" max="9986" width="17.25" style="84" bestFit="1" customWidth="1"/>
    <col min="9987" max="9988" width="20.5" style="84" bestFit="1" customWidth="1"/>
    <col min="9989" max="9989" width="0" style="84" hidden="1" customWidth="1"/>
    <col min="9990" max="9990" width="18.375" style="84" bestFit="1" customWidth="1"/>
    <col min="9991" max="9992" width="0" style="84" hidden="1" customWidth="1"/>
    <col min="9993" max="10236" width="9" style="84"/>
    <col min="10237" max="10237" width="6.625" style="84" customWidth="1"/>
    <col min="10238" max="10239" width="21.625" style="84" customWidth="1"/>
    <col min="10240" max="10240" width="16.125" style="84" bestFit="1" customWidth="1"/>
    <col min="10241" max="10241" width="13.875" style="84" bestFit="1" customWidth="1"/>
    <col min="10242" max="10242" width="17.25" style="84" bestFit="1" customWidth="1"/>
    <col min="10243" max="10244" width="20.5" style="84" bestFit="1" customWidth="1"/>
    <col min="10245" max="10245" width="0" style="84" hidden="1" customWidth="1"/>
    <col min="10246" max="10246" width="18.375" style="84" bestFit="1" customWidth="1"/>
    <col min="10247" max="10248" width="0" style="84" hidden="1" customWidth="1"/>
    <col min="10249" max="10492" width="9" style="84"/>
    <col min="10493" max="10493" width="6.625" style="84" customWidth="1"/>
    <col min="10494" max="10495" width="21.625" style="84" customWidth="1"/>
    <col min="10496" max="10496" width="16.125" style="84" bestFit="1" customWidth="1"/>
    <col min="10497" max="10497" width="13.875" style="84" bestFit="1" customWidth="1"/>
    <col min="10498" max="10498" width="17.25" style="84" bestFit="1" customWidth="1"/>
    <col min="10499" max="10500" width="20.5" style="84" bestFit="1" customWidth="1"/>
    <col min="10501" max="10501" width="0" style="84" hidden="1" customWidth="1"/>
    <col min="10502" max="10502" width="18.375" style="84" bestFit="1" customWidth="1"/>
    <col min="10503" max="10504" width="0" style="84" hidden="1" customWidth="1"/>
    <col min="10505" max="10748" width="9" style="84"/>
    <col min="10749" max="10749" width="6.625" style="84" customWidth="1"/>
    <col min="10750" max="10751" width="21.625" style="84" customWidth="1"/>
    <col min="10752" max="10752" width="16.125" style="84" bestFit="1" customWidth="1"/>
    <col min="10753" max="10753" width="13.875" style="84" bestFit="1" customWidth="1"/>
    <col min="10754" max="10754" width="17.25" style="84" bestFit="1" customWidth="1"/>
    <col min="10755" max="10756" width="20.5" style="84" bestFit="1" customWidth="1"/>
    <col min="10757" max="10757" width="0" style="84" hidden="1" customWidth="1"/>
    <col min="10758" max="10758" width="18.375" style="84" bestFit="1" customWidth="1"/>
    <col min="10759" max="10760" width="0" style="84" hidden="1" customWidth="1"/>
    <col min="10761" max="11004" width="9" style="84"/>
    <col min="11005" max="11005" width="6.625" style="84" customWidth="1"/>
    <col min="11006" max="11007" width="21.625" style="84" customWidth="1"/>
    <col min="11008" max="11008" width="16.125" style="84" bestFit="1" customWidth="1"/>
    <col min="11009" max="11009" width="13.875" style="84" bestFit="1" customWidth="1"/>
    <col min="11010" max="11010" width="17.25" style="84" bestFit="1" customWidth="1"/>
    <col min="11011" max="11012" width="20.5" style="84" bestFit="1" customWidth="1"/>
    <col min="11013" max="11013" width="0" style="84" hidden="1" customWidth="1"/>
    <col min="11014" max="11014" width="18.375" style="84" bestFit="1" customWidth="1"/>
    <col min="11015" max="11016" width="0" style="84" hidden="1" customWidth="1"/>
    <col min="11017" max="11260" width="9" style="84"/>
    <col min="11261" max="11261" width="6.625" style="84" customWidth="1"/>
    <col min="11262" max="11263" width="21.625" style="84" customWidth="1"/>
    <col min="11264" max="11264" width="16.125" style="84" bestFit="1" customWidth="1"/>
    <col min="11265" max="11265" width="13.875" style="84" bestFit="1" customWidth="1"/>
    <col min="11266" max="11266" width="17.25" style="84" bestFit="1" customWidth="1"/>
    <col min="11267" max="11268" width="20.5" style="84" bestFit="1" customWidth="1"/>
    <col min="11269" max="11269" width="0" style="84" hidden="1" customWidth="1"/>
    <col min="11270" max="11270" width="18.375" style="84" bestFit="1" customWidth="1"/>
    <col min="11271" max="11272" width="0" style="84" hidden="1" customWidth="1"/>
    <col min="11273" max="11516" width="9" style="84"/>
    <col min="11517" max="11517" width="6.625" style="84" customWidth="1"/>
    <col min="11518" max="11519" width="21.625" style="84" customWidth="1"/>
    <col min="11520" max="11520" width="16.125" style="84" bestFit="1" customWidth="1"/>
    <col min="11521" max="11521" width="13.875" style="84" bestFit="1" customWidth="1"/>
    <col min="11522" max="11522" width="17.25" style="84" bestFit="1" customWidth="1"/>
    <col min="11523" max="11524" width="20.5" style="84" bestFit="1" customWidth="1"/>
    <col min="11525" max="11525" width="0" style="84" hidden="1" customWidth="1"/>
    <col min="11526" max="11526" width="18.375" style="84" bestFit="1" customWidth="1"/>
    <col min="11527" max="11528" width="0" style="84" hidden="1" customWidth="1"/>
    <col min="11529" max="11772" width="9" style="84"/>
    <col min="11773" max="11773" width="6.625" style="84" customWidth="1"/>
    <col min="11774" max="11775" width="21.625" style="84" customWidth="1"/>
    <col min="11776" max="11776" width="16.125" style="84" bestFit="1" customWidth="1"/>
    <col min="11777" max="11777" width="13.875" style="84" bestFit="1" customWidth="1"/>
    <col min="11778" max="11778" width="17.25" style="84" bestFit="1" customWidth="1"/>
    <col min="11779" max="11780" width="20.5" style="84" bestFit="1" customWidth="1"/>
    <col min="11781" max="11781" width="0" style="84" hidden="1" customWidth="1"/>
    <col min="11782" max="11782" width="18.375" style="84" bestFit="1" customWidth="1"/>
    <col min="11783" max="11784" width="0" style="84" hidden="1" customWidth="1"/>
    <col min="11785" max="12028" width="9" style="84"/>
    <col min="12029" max="12029" width="6.625" style="84" customWidth="1"/>
    <col min="12030" max="12031" width="21.625" style="84" customWidth="1"/>
    <col min="12032" max="12032" width="16.125" style="84" bestFit="1" customWidth="1"/>
    <col min="12033" max="12033" width="13.875" style="84" bestFit="1" customWidth="1"/>
    <col min="12034" max="12034" width="17.25" style="84" bestFit="1" customWidth="1"/>
    <col min="12035" max="12036" width="20.5" style="84" bestFit="1" customWidth="1"/>
    <col min="12037" max="12037" width="0" style="84" hidden="1" customWidth="1"/>
    <col min="12038" max="12038" width="18.375" style="84" bestFit="1" customWidth="1"/>
    <col min="12039" max="12040" width="0" style="84" hidden="1" customWidth="1"/>
    <col min="12041" max="12284" width="9" style="84"/>
    <col min="12285" max="12285" width="6.625" style="84" customWidth="1"/>
    <col min="12286" max="12287" width="21.625" style="84" customWidth="1"/>
    <col min="12288" max="12288" width="16.125" style="84" bestFit="1" customWidth="1"/>
    <col min="12289" max="12289" width="13.875" style="84" bestFit="1" customWidth="1"/>
    <col min="12290" max="12290" width="17.25" style="84" bestFit="1" customWidth="1"/>
    <col min="12291" max="12292" width="20.5" style="84" bestFit="1" customWidth="1"/>
    <col min="12293" max="12293" width="0" style="84" hidden="1" customWidth="1"/>
    <col min="12294" max="12294" width="18.375" style="84" bestFit="1" customWidth="1"/>
    <col min="12295" max="12296" width="0" style="84" hidden="1" customWidth="1"/>
    <col min="12297" max="12540" width="9" style="84"/>
    <col min="12541" max="12541" width="6.625" style="84" customWidth="1"/>
    <col min="12542" max="12543" width="21.625" style="84" customWidth="1"/>
    <col min="12544" max="12544" width="16.125" style="84" bestFit="1" customWidth="1"/>
    <col min="12545" max="12545" width="13.875" style="84" bestFit="1" customWidth="1"/>
    <col min="12546" max="12546" width="17.25" style="84" bestFit="1" customWidth="1"/>
    <col min="12547" max="12548" width="20.5" style="84" bestFit="1" customWidth="1"/>
    <col min="12549" max="12549" width="0" style="84" hidden="1" customWidth="1"/>
    <col min="12550" max="12550" width="18.375" style="84" bestFit="1" customWidth="1"/>
    <col min="12551" max="12552" width="0" style="84" hidden="1" customWidth="1"/>
    <col min="12553" max="12796" width="9" style="84"/>
    <col min="12797" max="12797" width="6.625" style="84" customWidth="1"/>
    <col min="12798" max="12799" width="21.625" style="84" customWidth="1"/>
    <col min="12800" max="12800" width="16.125" style="84" bestFit="1" customWidth="1"/>
    <col min="12801" max="12801" width="13.875" style="84" bestFit="1" customWidth="1"/>
    <col min="12802" max="12802" width="17.25" style="84" bestFit="1" customWidth="1"/>
    <col min="12803" max="12804" width="20.5" style="84" bestFit="1" customWidth="1"/>
    <col min="12805" max="12805" width="0" style="84" hidden="1" customWidth="1"/>
    <col min="12806" max="12806" width="18.375" style="84" bestFit="1" customWidth="1"/>
    <col min="12807" max="12808" width="0" style="84" hidden="1" customWidth="1"/>
    <col min="12809" max="13052" width="9" style="84"/>
    <col min="13053" max="13053" width="6.625" style="84" customWidth="1"/>
    <col min="13054" max="13055" width="21.625" style="84" customWidth="1"/>
    <col min="13056" max="13056" width="16.125" style="84" bestFit="1" customWidth="1"/>
    <col min="13057" max="13057" width="13.875" style="84" bestFit="1" customWidth="1"/>
    <col min="13058" max="13058" width="17.25" style="84" bestFit="1" customWidth="1"/>
    <col min="13059" max="13060" width="20.5" style="84" bestFit="1" customWidth="1"/>
    <col min="13061" max="13061" width="0" style="84" hidden="1" customWidth="1"/>
    <col min="13062" max="13062" width="18.375" style="84" bestFit="1" customWidth="1"/>
    <col min="13063" max="13064" width="0" style="84" hidden="1" customWidth="1"/>
    <col min="13065" max="13308" width="9" style="84"/>
    <col min="13309" max="13309" width="6.625" style="84" customWidth="1"/>
    <col min="13310" max="13311" width="21.625" style="84" customWidth="1"/>
    <col min="13312" max="13312" width="16.125" style="84" bestFit="1" customWidth="1"/>
    <col min="13313" max="13313" width="13.875" style="84" bestFit="1" customWidth="1"/>
    <col min="13314" max="13314" width="17.25" style="84" bestFit="1" customWidth="1"/>
    <col min="13315" max="13316" width="20.5" style="84" bestFit="1" customWidth="1"/>
    <col min="13317" max="13317" width="0" style="84" hidden="1" customWidth="1"/>
    <col min="13318" max="13318" width="18.375" style="84" bestFit="1" customWidth="1"/>
    <col min="13319" max="13320" width="0" style="84" hidden="1" customWidth="1"/>
    <col min="13321" max="13564" width="9" style="84"/>
    <col min="13565" max="13565" width="6.625" style="84" customWidth="1"/>
    <col min="13566" max="13567" width="21.625" style="84" customWidth="1"/>
    <col min="13568" max="13568" width="16.125" style="84" bestFit="1" customWidth="1"/>
    <col min="13569" max="13569" width="13.875" style="84" bestFit="1" customWidth="1"/>
    <col min="13570" max="13570" width="17.25" style="84" bestFit="1" customWidth="1"/>
    <col min="13571" max="13572" width="20.5" style="84" bestFit="1" customWidth="1"/>
    <col min="13573" max="13573" width="0" style="84" hidden="1" customWidth="1"/>
    <col min="13574" max="13574" width="18.375" style="84" bestFit="1" customWidth="1"/>
    <col min="13575" max="13576" width="0" style="84" hidden="1" customWidth="1"/>
    <col min="13577" max="13820" width="9" style="84"/>
    <col min="13821" max="13821" width="6.625" style="84" customWidth="1"/>
    <col min="13822" max="13823" width="21.625" style="84" customWidth="1"/>
    <col min="13824" max="13824" width="16.125" style="84" bestFit="1" customWidth="1"/>
    <col min="13825" max="13825" width="13.875" style="84" bestFit="1" customWidth="1"/>
    <col min="13826" max="13826" width="17.25" style="84" bestFit="1" customWidth="1"/>
    <col min="13827" max="13828" width="20.5" style="84" bestFit="1" customWidth="1"/>
    <col min="13829" max="13829" width="0" style="84" hidden="1" customWidth="1"/>
    <col min="13830" max="13830" width="18.375" style="84" bestFit="1" customWidth="1"/>
    <col min="13831" max="13832" width="0" style="84" hidden="1" customWidth="1"/>
    <col min="13833" max="14076" width="9" style="84"/>
    <col min="14077" max="14077" width="6.625" style="84" customWidth="1"/>
    <col min="14078" max="14079" width="21.625" style="84" customWidth="1"/>
    <col min="14080" max="14080" width="16.125" style="84" bestFit="1" customWidth="1"/>
    <col min="14081" max="14081" width="13.875" style="84" bestFit="1" customWidth="1"/>
    <col min="14082" max="14082" width="17.25" style="84" bestFit="1" customWidth="1"/>
    <col min="14083" max="14084" width="20.5" style="84" bestFit="1" customWidth="1"/>
    <col min="14085" max="14085" width="0" style="84" hidden="1" customWidth="1"/>
    <col min="14086" max="14086" width="18.375" style="84" bestFit="1" customWidth="1"/>
    <col min="14087" max="14088" width="0" style="84" hidden="1" customWidth="1"/>
    <col min="14089" max="14332" width="9" style="84"/>
    <col min="14333" max="14333" width="6.625" style="84" customWidth="1"/>
    <col min="14334" max="14335" width="21.625" style="84" customWidth="1"/>
    <col min="14336" max="14336" width="16.125" style="84" bestFit="1" customWidth="1"/>
    <col min="14337" max="14337" width="13.875" style="84" bestFit="1" customWidth="1"/>
    <col min="14338" max="14338" width="17.25" style="84" bestFit="1" customWidth="1"/>
    <col min="14339" max="14340" width="20.5" style="84" bestFit="1" customWidth="1"/>
    <col min="14341" max="14341" width="0" style="84" hidden="1" customWidth="1"/>
    <col min="14342" max="14342" width="18.375" style="84" bestFit="1" customWidth="1"/>
    <col min="14343" max="14344" width="0" style="84" hidden="1" customWidth="1"/>
    <col min="14345" max="14588" width="9" style="84"/>
    <col min="14589" max="14589" width="6.625" style="84" customWidth="1"/>
    <col min="14590" max="14591" width="21.625" style="84" customWidth="1"/>
    <col min="14592" max="14592" width="16.125" style="84" bestFit="1" customWidth="1"/>
    <col min="14593" max="14593" width="13.875" style="84" bestFit="1" customWidth="1"/>
    <col min="14594" max="14594" width="17.25" style="84" bestFit="1" customWidth="1"/>
    <col min="14595" max="14596" width="20.5" style="84" bestFit="1" customWidth="1"/>
    <col min="14597" max="14597" width="0" style="84" hidden="1" customWidth="1"/>
    <col min="14598" max="14598" width="18.375" style="84" bestFit="1" customWidth="1"/>
    <col min="14599" max="14600" width="0" style="84" hidden="1" customWidth="1"/>
    <col min="14601" max="14844" width="9" style="84"/>
    <col min="14845" max="14845" width="6.625" style="84" customWidth="1"/>
    <col min="14846" max="14847" width="21.625" style="84" customWidth="1"/>
    <col min="14848" max="14848" width="16.125" style="84" bestFit="1" customWidth="1"/>
    <col min="14849" max="14849" width="13.875" style="84" bestFit="1" customWidth="1"/>
    <col min="14850" max="14850" width="17.25" style="84" bestFit="1" customWidth="1"/>
    <col min="14851" max="14852" width="20.5" style="84" bestFit="1" customWidth="1"/>
    <col min="14853" max="14853" width="0" style="84" hidden="1" customWidth="1"/>
    <col min="14854" max="14854" width="18.375" style="84" bestFit="1" customWidth="1"/>
    <col min="14855" max="14856" width="0" style="84" hidden="1" customWidth="1"/>
    <col min="14857" max="15100" width="9" style="84"/>
    <col min="15101" max="15101" width="6.625" style="84" customWidth="1"/>
    <col min="15102" max="15103" width="21.625" style="84" customWidth="1"/>
    <col min="15104" max="15104" width="16.125" style="84" bestFit="1" customWidth="1"/>
    <col min="15105" max="15105" width="13.875" style="84" bestFit="1" customWidth="1"/>
    <col min="15106" max="15106" width="17.25" style="84" bestFit="1" customWidth="1"/>
    <col min="15107" max="15108" width="20.5" style="84" bestFit="1" customWidth="1"/>
    <col min="15109" max="15109" width="0" style="84" hidden="1" customWidth="1"/>
    <col min="15110" max="15110" width="18.375" style="84" bestFit="1" customWidth="1"/>
    <col min="15111" max="15112" width="0" style="84" hidden="1" customWidth="1"/>
    <col min="15113" max="15356" width="9" style="84"/>
    <col min="15357" max="15357" width="6.625" style="84" customWidth="1"/>
    <col min="15358" max="15359" width="21.625" style="84" customWidth="1"/>
    <col min="15360" max="15360" width="16.125" style="84" bestFit="1" customWidth="1"/>
    <col min="15361" max="15361" width="13.875" style="84" bestFit="1" customWidth="1"/>
    <col min="15362" max="15362" width="17.25" style="84" bestFit="1" customWidth="1"/>
    <col min="15363" max="15364" width="20.5" style="84" bestFit="1" customWidth="1"/>
    <col min="15365" max="15365" width="0" style="84" hidden="1" customWidth="1"/>
    <col min="15366" max="15366" width="18.375" style="84" bestFit="1" customWidth="1"/>
    <col min="15367" max="15368" width="0" style="84" hidden="1" customWidth="1"/>
    <col min="15369" max="15612" width="9" style="84"/>
    <col min="15613" max="15613" width="6.625" style="84" customWidth="1"/>
    <col min="15614" max="15615" width="21.625" style="84" customWidth="1"/>
    <col min="15616" max="15616" width="16.125" style="84" bestFit="1" customWidth="1"/>
    <col min="15617" max="15617" width="13.875" style="84" bestFit="1" customWidth="1"/>
    <col min="15618" max="15618" width="17.25" style="84" bestFit="1" customWidth="1"/>
    <col min="15619" max="15620" width="20.5" style="84" bestFit="1" customWidth="1"/>
    <col min="15621" max="15621" width="0" style="84" hidden="1" customWidth="1"/>
    <col min="15622" max="15622" width="18.375" style="84" bestFit="1" customWidth="1"/>
    <col min="15623" max="15624" width="0" style="84" hidden="1" customWidth="1"/>
    <col min="15625" max="15868" width="9" style="84"/>
    <col min="15869" max="15869" width="6.625" style="84" customWidth="1"/>
    <col min="15870" max="15871" width="21.625" style="84" customWidth="1"/>
    <col min="15872" max="15872" width="16.125" style="84" bestFit="1" customWidth="1"/>
    <col min="15873" max="15873" width="13.875" style="84" bestFit="1" customWidth="1"/>
    <col min="15874" max="15874" width="17.25" style="84" bestFit="1" customWidth="1"/>
    <col min="15875" max="15876" width="20.5" style="84" bestFit="1" customWidth="1"/>
    <col min="15877" max="15877" width="0" style="84" hidden="1" customWidth="1"/>
    <col min="15878" max="15878" width="18.375" style="84" bestFit="1" customWidth="1"/>
    <col min="15879" max="15880" width="0" style="84" hidden="1" customWidth="1"/>
    <col min="15881" max="16124" width="9" style="84"/>
    <col min="16125" max="16125" width="6.625" style="84" customWidth="1"/>
    <col min="16126" max="16127" width="21.625" style="84" customWidth="1"/>
    <col min="16128" max="16128" width="16.125" style="84" bestFit="1" customWidth="1"/>
    <col min="16129" max="16129" width="13.875" style="84" bestFit="1" customWidth="1"/>
    <col min="16130" max="16130" width="17.25" style="84" bestFit="1" customWidth="1"/>
    <col min="16131" max="16132" width="20.5" style="84" bestFit="1" customWidth="1"/>
    <col min="16133" max="16133" width="0" style="84" hidden="1" customWidth="1"/>
    <col min="16134" max="16134" width="18.375" style="84" bestFit="1" customWidth="1"/>
    <col min="16135" max="16136" width="0" style="84" hidden="1" customWidth="1"/>
    <col min="16137" max="16384" width="9" style="84"/>
  </cols>
  <sheetData>
    <row r="1" spans="1:3" ht="20.25">
      <c r="A1" s="181" t="s">
        <v>558</v>
      </c>
      <c r="B1" s="182"/>
      <c r="C1" s="182"/>
    </row>
    <row r="2" spans="1:3" ht="35.1" customHeight="1">
      <c r="A2" s="183" t="s">
        <v>559</v>
      </c>
      <c r="B2" s="184"/>
      <c r="C2" s="174" t="s">
        <v>560</v>
      </c>
    </row>
    <row r="3" spans="1:3" ht="30" customHeight="1">
      <c r="A3" s="175" t="s">
        <v>561</v>
      </c>
      <c r="B3" s="175" t="s">
        <v>562</v>
      </c>
      <c r="C3" s="176" t="s">
        <v>221</v>
      </c>
    </row>
    <row r="4" spans="1:3" ht="30" customHeight="1">
      <c r="A4" s="175">
        <v>1</v>
      </c>
      <c r="B4" s="175" t="s">
        <v>563</v>
      </c>
      <c r="C4" s="177">
        <f>七宝基本支出!Y4+'2023年绩效清算'!Q24</f>
        <v>630926063.77999997</v>
      </c>
    </row>
    <row r="5" spans="1:3" ht="30" customHeight="1">
      <c r="A5" s="175">
        <v>2</v>
      </c>
      <c r="B5" s="175" t="s">
        <v>564</v>
      </c>
      <c r="C5" s="177">
        <f>七宝基本支出!Y38</f>
        <v>109862926.75</v>
      </c>
    </row>
    <row r="6" spans="1:3" ht="30" customHeight="1">
      <c r="A6" s="175">
        <v>3</v>
      </c>
      <c r="B6" s="175" t="s">
        <v>565</v>
      </c>
      <c r="C6" s="177">
        <f>七宝基本支出!Y31</f>
        <v>10835264.199999999</v>
      </c>
    </row>
    <row r="7" spans="1:3" ht="30" customHeight="1">
      <c r="A7" s="175">
        <v>4</v>
      </c>
      <c r="B7" s="175" t="s">
        <v>566</v>
      </c>
      <c r="C7" s="177">
        <f>社区教育!C3</f>
        <v>829104</v>
      </c>
    </row>
    <row r="8" spans="1:3" ht="30" customHeight="1">
      <c r="A8" s="175">
        <v>5</v>
      </c>
      <c r="B8" s="175" t="s">
        <v>567</v>
      </c>
      <c r="C8" s="177">
        <f>[1]社区教育志愿者联盟!C4</f>
        <v>40000</v>
      </c>
    </row>
    <row r="9" spans="1:3" ht="30" customHeight="1">
      <c r="A9" s="175">
        <v>6</v>
      </c>
      <c r="B9" s="175" t="s">
        <v>530</v>
      </c>
      <c r="C9" s="177">
        <f>残疾就业保障!D23</f>
        <v>5621492.5600000005</v>
      </c>
    </row>
    <row r="10" spans="1:3" ht="30" customHeight="1">
      <c r="A10" s="175">
        <v>7</v>
      </c>
      <c r="B10" s="175" t="s">
        <v>531</v>
      </c>
      <c r="C10" s="177">
        <f>抚恤金!D6</f>
        <v>588746</v>
      </c>
    </row>
    <row r="11" spans="1:3" ht="30" customHeight="1">
      <c r="A11" s="175">
        <v>8</v>
      </c>
      <c r="B11" s="175" t="s">
        <v>568</v>
      </c>
      <c r="C11" s="177">
        <f>补充公用经费!AO23+清算补充公用经费!I13</f>
        <v>45608339.920000002</v>
      </c>
    </row>
    <row r="12" spans="1:3" ht="30" customHeight="1">
      <c r="A12" s="175">
        <v>9</v>
      </c>
      <c r="B12" s="178" t="s">
        <v>569</v>
      </c>
      <c r="C12" s="177">
        <f>公办义务教育减免书薄费!I13</f>
        <v>7852780</v>
      </c>
    </row>
    <row r="13" spans="1:3" ht="30" customHeight="1">
      <c r="A13" s="175">
        <v>10</v>
      </c>
      <c r="B13" s="178" t="s">
        <v>570</v>
      </c>
      <c r="C13" s="177">
        <f>公办义务教育营养午餐!E14</f>
        <v>2506370</v>
      </c>
    </row>
    <row r="14" spans="1:3" ht="30" customHeight="1">
      <c r="A14" s="175">
        <v>11</v>
      </c>
      <c r="B14" s="178" t="s">
        <v>571</v>
      </c>
      <c r="C14" s="177">
        <f>公办义务教育资助!L15</f>
        <v>401678</v>
      </c>
    </row>
    <row r="15" spans="1:3" ht="30" customHeight="1">
      <c r="A15" s="175">
        <v>12</v>
      </c>
      <c r="B15" s="175" t="s">
        <v>572</v>
      </c>
      <c r="C15" s="177">
        <f>公办学前资助!N11</f>
        <v>81914</v>
      </c>
    </row>
    <row r="16" spans="1:3" ht="30" customHeight="1">
      <c r="A16" s="175">
        <v>13</v>
      </c>
      <c r="B16" s="175" t="s">
        <v>574</v>
      </c>
      <c r="C16" s="177">
        <f>七宝维修!K121+尾款清算!K16</f>
        <v>6100001.6699999999</v>
      </c>
    </row>
    <row r="17" spans="1:3" ht="30" customHeight="1">
      <c r="A17" s="175"/>
      <c r="B17" s="175" t="s">
        <v>573</v>
      </c>
      <c r="C17" s="179">
        <f>SUM(C4:C16)</f>
        <v>821254680.87999988</v>
      </c>
    </row>
    <row r="18" spans="1:3" ht="30" customHeight="1"/>
    <row r="19" spans="1:3" ht="30" customHeight="1"/>
  </sheetData>
  <mergeCells count="2">
    <mergeCell ref="A1:C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6" sqref="A16:XFD72"/>
    </sheetView>
  </sheetViews>
  <sheetFormatPr defaultRowHeight="13.5"/>
  <cols>
    <col min="1" max="1" width="4.625" style="82" customWidth="1"/>
    <col min="2" max="2" width="20.375" style="83" customWidth="1"/>
    <col min="3" max="3" width="8.625" style="83" customWidth="1"/>
    <col min="4" max="12" width="10.625" style="73" customWidth="1"/>
    <col min="13" max="16384" width="9" style="73"/>
  </cols>
  <sheetData>
    <row r="1" spans="1:12" ht="28.5" customHeight="1">
      <c r="A1" s="209" t="s">
        <v>369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3.5" customHeight="1">
      <c r="A2" s="210" t="s">
        <v>3</v>
      </c>
      <c r="B2" s="210" t="s">
        <v>302</v>
      </c>
      <c r="C2" s="210" t="s">
        <v>247</v>
      </c>
      <c r="D2" s="212" t="s">
        <v>316</v>
      </c>
      <c r="E2" s="212"/>
      <c r="F2" s="212"/>
      <c r="G2" s="212"/>
      <c r="H2" s="212"/>
      <c r="I2" s="212"/>
      <c r="J2" s="212"/>
      <c r="K2" s="212"/>
      <c r="L2" s="213" t="s">
        <v>317</v>
      </c>
    </row>
    <row r="3" spans="1:12" ht="13.5" customHeight="1">
      <c r="A3" s="210"/>
      <c r="B3" s="210"/>
      <c r="C3" s="210"/>
      <c r="D3" s="74" t="s">
        <v>318</v>
      </c>
      <c r="E3" s="74" t="s">
        <v>319</v>
      </c>
      <c r="F3" s="74" t="s">
        <v>320</v>
      </c>
      <c r="G3" s="74" t="s">
        <v>321</v>
      </c>
      <c r="H3" s="74" t="s">
        <v>322</v>
      </c>
      <c r="I3" s="74" t="s">
        <v>323</v>
      </c>
      <c r="J3" s="74" t="s">
        <v>324</v>
      </c>
      <c r="K3" s="75" t="s">
        <v>265</v>
      </c>
      <c r="L3" s="214"/>
    </row>
    <row r="4" spans="1:12">
      <c r="A4" s="211"/>
      <c r="B4" s="211"/>
      <c r="C4" s="211"/>
      <c r="D4" s="74" t="s">
        <v>325</v>
      </c>
      <c r="E4" s="74" t="s">
        <v>325</v>
      </c>
      <c r="F4" s="74" t="s">
        <v>325</v>
      </c>
      <c r="G4" s="74" t="s">
        <v>325</v>
      </c>
      <c r="H4" s="74" t="s">
        <v>325</v>
      </c>
      <c r="I4" s="74" t="s">
        <v>325</v>
      </c>
      <c r="J4" s="74" t="s">
        <v>325</v>
      </c>
      <c r="K4" s="74" t="s">
        <v>325</v>
      </c>
      <c r="L4" s="215" t="s">
        <v>325</v>
      </c>
    </row>
    <row r="5" spans="1:12" ht="18" customHeight="1">
      <c r="A5" s="76">
        <v>1</v>
      </c>
      <c r="B5" s="64" t="s">
        <v>305</v>
      </c>
      <c r="C5" s="64" t="s">
        <v>199</v>
      </c>
      <c r="D5" s="78">
        <v>1525</v>
      </c>
      <c r="E5" s="78">
        <v>8435</v>
      </c>
      <c r="F5" s="78"/>
      <c r="G5" s="78"/>
      <c r="H5" s="78"/>
      <c r="I5" s="78"/>
      <c r="J5" s="79"/>
      <c r="K5" s="80">
        <f t="shared" ref="K5:K14" si="0">D5+E5+F5+G5+H5+I5+J5</f>
        <v>9960</v>
      </c>
      <c r="L5" s="80">
        <f t="shared" ref="L5:L14" si="1">K5*2</f>
        <v>19920</v>
      </c>
    </row>
    <row r="6" spans="1:12" ht="18" customHeight="1">
      <c r="A6" s="76">
        <v>2</v>
      </c>
      <c r="B6" s="64" t="s">
        <v>306</v>
      </c>
      <c r="C6" s="64" t="s">
        <v>199</v>
      </c>
      <c r="D6" s="78">
        <v>1545</v>
      </c>
      <c r="E6" s="78">
        <v>8575</v>
      </c>
      <c r="F6" s="78"/>
      <c r="G6" s="78"/>
      <c r="H6" s="78">
        <v>1545</v>
      </c>
      <c r="I6" s="78"/>
      <c r="J6" s="79"/>
      <c r="K6" s="80">
        <f t="shared" si="0"/>
        <v>11665</v>
      </c>
      <c r="L6" s="80">
        <f t="shared" si="1"/>
        <v>23330</v>
      </c>
    </row>
    <row r="7" spans="1:12" ht="18" customHeight="1">
      <c r="A7" s="76">
        <v>3</v>
      </c>
      <c r="B7" s="64" t="s">
        <v>307</v>
      </c>
      <c r="C7" s="64" t="s">
        <v>199</v>
      </c>
      <c r="D7" s="78">
        <v>1820</v>
      </c>
      <c r="E7" s="78">
        <v>1820</v>
      </c>
      <c r="F7" s="77"/>
      <c r="G7" s="77"/>
      <c r="H7" s="77"/>
      <c r="I7" s="77"/>
      <c r="J7" s="79">
        <v>5306</v>
      </c>
      <c r="K7" s="80">
        <f t="shared" si="0"/>
        <v>8946</v>
      </c>
      <c r="L7" s="80">
        <f t="shared" si="1"/>
        <v>17892</v>
      </c>
    </row>
    <row r="8" spans="1:12" ht="18" customHeight="1">
      <c r="A8" s="76">
        <v>4</v>
      </c>
      <c r="B8" s="64" t="s">
        <v>308</v>
      </c>
      <c r="C8" s="64" t="s">
        <v>199</v>
      </c>
      <c r="D8" s="78"/>
      <c r="E8" s="78">
        <v>3250</v>
      </c>
      <c r="F8" s="78">
        <v>2518</v>
      </c>
      <c r="G8" s="78"/>
      <c r="H8" s="78">
        <v>4143</v>
      </c>
      <c r="I8" s="78">
        <v>1625</v>
      </c>
      <c r="J8" s="79">
        <v>1625</v>
      </c>
      <c r="K8" s="80">
        <f t="shared" si="0"/>
        <v>13161</v>
      </c>
      <c r="L8" s="80">
        <f t="shared" si="1"/>
        <v>26322</v>
      </c>
    </row>
    <row r="9" spans="1:12" ht="18" customHeight="1">
      <c r="A9" s="76">
        <v>5</v>
      </c>
      <c r="B9" s="64" t="s">
        <v>309</v>
      </c>
      <c r="C9" s="64" t="s">
        <v>199</v>
      </c>
      <c r="D9" s="78"/>
      <c r="E9" s="78">
        <v>14880</v>
      </c>
      <c r="F9" s="78"/>
      <c r="G9" s="78"/>
      <c r="H9" s="78">
        <v>3080</v>
      </c>
      <c r="I9" s="78"/>
      <c r="J9" s="79"/>
      <c r="K9" s="80">
        <f t="shared" si="0"/>
        <v>17960</v>
      </c>
      <c r="L9" s="80">
        <f t="shared" si="1"/>
        <v>35920</v>
      </c>
    </row>
    <row r="10" spans="1:12" ht="18" customHeight="1">
      <c r="A10" s="76">
        <v>6</v>
      </c>
      <c r="B10" s="64" t="s">
        <v>310</v>
      </c>
      <c r="C10" s="71" t="s">
        <v>197</v>
      </c>
      <c r="D10" s="78"/>
      <c r="E10" s="78">
        <v>22653</v>
      </c>
      <c r="F10" s="78"/>
      <c r="G10" s="78"/>
      <c r="H10" s="78">
        <v>10601</v>
      </c>
      <c r="I10" s="78"/>
      <c r="J10" s="79">
        <v>3013</v>
      </c>
      <c r="K10" s="80">
        <f t="shared" si="0"/>
        <v>36267</v>
      </c>
      <c r="L10" s="80">
        <f t="shared" si="1"/>
        <v>72534</v>
      </c>
    </row>
    <row r="11" spans="1:12" ht="18" customHeight="1">
      <c r="A11" s="76">
        <v>7</v>
      </c>
      <c r="B11" s="64" t="s">
        <v>311</v>
      </c>
      <c r="C11" s="71" t="s">
        <v>197</v>
      </c>
      <c r="D11" s="78"/>
      <c r="E11" s="78">
        <v>24100</v>
      </c>
      <c r="F11" s="78"/>
      <c r="G11" s="78">
        <v>13285</v>
      </c>
      <c r="H11" s="78">
        <v>7415</v>
      </c>
      <c r="I11" s="78"/>
      <c r="J11" s="79"/>
      <c r="K11" s="80">
        <f t="shared" si="0"/>
        <v>44800</v>
      </c>
      <c r="L11" s="80">
        <f t="shared" si="1"/>
        <v>89600</v>
      </c>
    </row>
    <row r="12" spans="1:12" ht="18" customHeight="1">
      <c r="A12" s="76">
        <v>8</v>
      </c>
      <c r="B12" s="64" t="s">
        <v>312</v>
      </c>
      <c r="C12" s="71" t="s">
        <v>197</v>
      </c>
      <c r="D12" s="78"/>
      <c r="E12" s="78">
        <v>17845</v>
      </c>
      <c r="F12" s="78">
        <v>1525</v>
      </c>
      <c r="G12" s="78"/>
      <c r="H12" s="78"/>
      <c r="I12" s="78"/>
      <c r="J12" s="79"/>
      <c r="K12" s="80">
        <f t="shared" si="0"/>
        <v>19370</v>
      </c>
      <c r="L12" s="80">
        <f t="shared" si="1"/>
        <v>38740</v>
      </c>
    </row>
    <row r="13" spans="1:12" ht="18" customHeight="1">
      <c r="A13" s="76">
        <v>9</v>
      </c>
      <c r="B13" s="64" t="s">
        <v>313</v>
      </c>
      <c r="C13" s="71" t="s">
        <v>197</v>
      </c>
      <c r="D13" s="78"/>
      <c r="E13" s="78">
        <v>20760</v>
      </c>
      <c r="F13" s="78"/>
      <c r="G13" s="78"/>
      <c r="H13" s="78">
        <v>14580</v>
      </c>
      <c r="I13" s="78"/>
      <c r="J13" s="79"/>
      <c r="K13" s="80">
        <f t="shared" si="0"/>
        <v>35340</v>
      </c>
      <c r="L13" s="80">
        <f t="shared" si="1"/>
        <v>70680</v>
      </c>
    </row>
    <row r="14" spans="1:12" ht="18" customHeight="1">
      <c r="A14" s="76">
        <v>10</v>
      </c>
      <c r="B14" s="64" t="s">
        <v>299</v>
      </c>
      <c r="C14" s="64" t="s">
        <v>198</v>
      </c>
      <c r="D14" s="78"/>
      <c r="E14" s="78"/>
      <c r="F14" s="78"/>
      <c r="G14" s="78"/>
      <c r="H14" s="78">
        <v>3370</v>
      </c>
      <c r="I14" s="78"/>
      <c r="J14" s="78"/>
      <c r="K14" s="80">
        <f t="shared" si="0"/>
        <v>3370</v>
      </c>
      <c r="L14" s="80">
        <f t="shared" si="1"/>
        <v>6740</v>
      </c>
    </row>
    <row r="15" spans="1:12" ht="18" customHeight="1">
      <c r="A15" s="67"/>
      <c r="B15" s="68" t="s">
        <v>281</v>
      </c>
      <c r="C15" s="69"/>
      <c r="D15" s="81">
        <f t="shared" ref="D15:L15" si="2">SUM(D5:D14)</f>
        <v>4890</v>
      </c>
      <c r="E15" s="81">
        <f t="shared" si="2"/>
        <v>122318</v>
      </c>
      <c r="F15" s="81">
        <f t="shared" si="2"/>
        <v>4043</v>
      </c>
      <c r="G15" s="81">
        <f t="shared" si="2"/>
        <v>13285</v>
      </c>
      <c r="H15" s="81">
        <f t="shared" si="2"/>
        <v>44734</v>
      </c>
      <c r="I15" s="81">
        <f t="shared" si="2"/>
        <v>1625</v>
      </c>
      <c r="J15" s="81">
        <f t="shared" si="2"/>
        <v>9944</v>
      </c>
      <c r="K15" s="81">
        <f t="shared" si="2"/>
        <v>200839</v>
      </c>
      <c r="L15" s="81">
        <f t="shared" si="2"/>
        <v>401678</v>
      </c>
    </row>
  </sheetData>
  <mergeCells count="6">
    <mergeCell ref="A1:L1"/>
    <mergeCell ref="A2:A4"/>
    <mergeCell ref="B2:B4"/>
    <mergeCell ref="C2:C4"/>
    <mergeCell ref="D2:K2"/>
    <mergeCell ref="L2:L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6" sqref="A16:XFD72"/>
    </sheetView>
  </sheetViews>
  <sheetFormatPr defaultRowHeight="13.5"/>
  <cols>
    <col min="1" max="1" width="12.25" style="60" customWidth="1"/>
    <col min="2" max="2" width="28.125" style="60" customWidth="1"/>
    <col min="3" max="3" width="11.75" style="60" customWidth="1"/>
    <col min="4" max="4" width="19.375" style="60" customWidth="1"/>
    <col min="5" max="5" width="20.375" style="60" customWidth="1"/>
    <col min="6" max="16384" width="9" style="60"/>
  </cols>
  <sheetData>
    <row r="1" spans="1:5" ht="18.75">
      <c r="A1" s="216" t="s">
        <v>301</v>
      </c>
      <c r="B1" s="216"/>
      <c r="C1" s="216"/>
      <c r="D1" s="216"/>
      <c r="E1" s="217"/>
    </row>
    <row r="2" spans="1:5" ht="18" customHeight="1">
      <c r="A2" s="61" t="s">
        <v>3</v>
      </c>
      <c r="B2" s="61" t="s">
        <v>302</v>
      </c>
      <c r="C2" s="61" t="s">
        <v>303</v>
      </c>
      <c r="D2" s="62" t="s">
        <v>304</v>
      </c>
      <c r="E2" s="61" t="s">
        <v>7</v>
      </c>
    </row>
    <row r="3" spans="1:5" ht="18" customHeight="1">
      <c r="A3" s="63">
        <v>1</v>
      </c>
      <c r="B3" s="64" t="s">
        <v>305</v>
      </c>
      <c r="C3" s="64" t="s">
        <v>199</v>
      </c>
      <c r="D3" s="65">
        <v>52575</v>
      </c>
      <c r="E3" s="66">
        <f t="shared" ref="E3:E13" si="0">D3*2</f>
        <v>105150</v>
      </c>
    </row>
    <row r="4" spans="1:5" ht="18" customHeight="1">
      <c r="A4" s="63">
        <v>2</v>
      </c>
      <c r="B4" s="64" t="s">
        <v>306</v>
      </c>
      <c r="C4" s="64" t="s">
        <v>199</v>
      </c>
      <c r="D4" s="65">
        <v>64125</v>
      </c>
      <c r="E4" s="66">
        <f t="shared" si="0"/>
        <v>128250</v>
      </c>
    </row>
    <row r="5" spans="1:5" ht="18" customHeight="1">
      <c r="A5" s="63">
        <v>3</v>
      </c>
      <c r="B5" s="64" t="s">
        <v>307</v>
      </c>
      <c r="C5" s="64" t="s">
        <v>199</v>
      </c>
      <c r="D5" s="65">
        <v>188100</v>
      </c>
      <c r="E5" s="66">
        <f t="shared" si="0"/>
        <v>376200</v>
      </c>
    </row>
    <row r="6" spans="1:5" ht="18" customHeight="1">
      <c r="A6" s="63">
        <v>4</v>
      </c>
      <c r="B6" s="64" t="s">
        <v>308</v>
      </c>
      <c r="C6" s="64" t="s">
        <v>199</v>
      </c>
      <c r="D6" s="65">
        <v>314925</v>
      </c>
      <c r="E6" s="66">
        <f t="shared" si="0"/>
        <v>629850</v>
      </c>
    </row>
    <row r="7" spans="1:5" ht="18" customHeight="1">
      <c r="A7" s="63">
        <v>5</v>
      </c>
      <c r="B7" s="64" t="s">
        <v>309</v>
      </c>
      <c r="C7" s="64" t="s">
        <v>199</v>
      </c>
      <c r="D7" s="65">
        <v>119700</v>
      </c>
      <c r="E7" s="66">
        <f t="shared" si="0"/>
        <v>239400</v>
      </c>
    </row>
    <row r="8" spans="1:5" ht="18" customHeight="1">
      <c r="A8" s="63">
        <v>6</v>
      </c>
      <c r="B8" s="64" t="s">
        <v>310</v>
      </c>
      <c r="C8" s="71" t="s">
        <v>197</v>
      </c>
      <c r="D8" s="72">
        <v>206625</v>
      </c>
      <c r="E8" s="66">
        <f t="shared" si="0"/>
        <v>413250</v>
      </c>
    </row>
    <row r="9" spans="1:5" ht="18" customHeight="1">
      <c r="A9" s="63">
        <v>7</v>
      </c>
      <c r="B9" s="64" t="s">
        <v>311</v>
      </c>
      <c r="C9" s="71" t="s">
        <v>197</v>
      </c>
      <c r="D9" s="65">
        <v>47025</v>
      </c>
      <c r="E9" s="66">
        <f t="shared" si="0"/>
        <v>94050</v>
      </c>
    </row>
    <row r="10" spans="1:5" ht="18" customHeight="1">
      <c r="A10" s="63">
        <v>8</v>
      </c>
      <c r="B10" s="64" t="s">
        <v>312</v>
      </c>
      <c r="C10" s="71" t="s">
        <v>197</v>
      </c>
      <c r="D10" s="65">
        <v>72675</v>
      </c>
      <c r="E10" s="66">
        <f t="shared" si="0"/>
        <v>145350</v>
      </c>
    </row>
    <row r="11" spans="1:5" ht="18" customHeight="1">
      <c r="A11" s="63">
        <v>9</v>
      </c>
      <c r="B11" s="64" t="s">
        <v>313</v>
      </c>
      <c r="C11" s="71" t="s">
        <v>197</v>
      </c>
      <c r="D11" s="65">
        <v>44175</v>
      </c>
      <c r="E11" s="66">
        <f t="shared" si="0"/>
        <v>88350</v>
      </c>
    </row>
    <row r="12" spans="1:5" ht="18" customHeight="1">
      <c r="A12" s="63">
        <v>10</v>
      </c>
      <c r="B12" s="64" t="s">
        <v>314</v>
      </c>
      <c r="C12" s="64" t="s">
        <v>198</v>
      </c>
      <c r="D12" s="65">
        <v>81700</v>
      </c>
      <c r="E12" s="66">
        <f t="shared" si="0"/>
        <v>163400</v>
      </c>
    </row>
    <row r="13" spans="1:5" ht="18" customHeight="1">
      <c r="A13" s="63">
        <v>10</v>
      </c>
      <c r="B13" s="64" t="s">
        <v>315</v>
      </c>
      <c r="C13" s="64" t="s">
        <v>198</v>
      </c>
      <c r="D13" s="65">
        <v>61560</v>
      </c>
      <c r="E13" s="66">
        <f t="shared" si="0"/>
        <v>123120</v>
      </c>
    </row>
    <row r="14" spans="1:5" ht="18" customHeight="1">
      <c r="A14" s="67"/>
      <c r="B14" s="68" t="s">
        <v>281</v>
      </c>
      <c r="C14" s="69"/>
      <c r="D14" s="70">
        <f>SUM(D3:D13)</f>
        <v>1253185</v>
      </c>
      <c r="E14" s="70">
        <f>SUM(E3:E13)</f>
        <v>2506370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16" sqref="A16:XFD72"/>
    </sheetView>
  </sheetViews>
  <sheetFormatPr defaultColWidth="7" defaultRowHeight="13.5"/>
  <cols>
    <col min="1" max="1" width="27.25" style="94" customWidth="1"/>
    <col min="2" max="2" width="13.125" style="94" hidden="1" customWidth="1"/>
    <col min="3" max="3" width="6" style="94" hidden="1" customWidth="1"/>
    <col min="4" max="7" width="10.625" style="94" customWidth="1"/>
    <col min="8" max="9" width="10.625" style="94" hidden="1" customWidth="1"/>
    <col min="10" max="11" width="10.625" style="94" customWidth="1"/>
    <col min="12" max="12" width="10.625" style="95" customWidth="1"/>
    <col min="13" max="13" width="8.5" style="94" customWidth="1"/>
    <col min="14" max="14" width="10.625" style="94" customWidth="1"/>
    <col min="15" max="16384" width="7" style="94"/>
  </cols>
  <sheetData>
    <row r="1" spans="1:14" s="84" customFormat="1" ht="24.95" customHeight="1">
      <c r="A1" s="209" t="s">
        <v>326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84" customFormat="1" ht="23.25" customHeight="1">
      <c r="A2" s="210" t="s">
        <v>3</v>
      </c>
      <c r="B2" s="210" t="s">
        <v>302</v>
      </c>
      <c r="C2" s="210" t="s">
        <v>327</v>
      </c>
      <c r="D2" s="212" t="s">
        <v>328</v>
      </c>
      <c r="E2" s="212"/>
      <c r="F2" s="212"/>
      <c r="G2" s="212"/>
      <c r="H2" s="212"/>
      <c r="I2" s="212"/>
      <c r="J2" s="212"/>
      <c r="K2" s="212"/>
      <c r="L2" s="212"/>
      <c r="M2" s="212"/>
      <c r="N2" s="218" t="s">
        <v>329</v>
      </c>
    </row>
    <row r="3" spans="1:14" s="84" customFormat="1" ht="15.75" customHeight="1">
      <c r="A3" s="210"/>
      <c r="B3" s="210"/>
      <c r="C3" s="210"/>
      <c r="D3" s="85" t="s">
        <v>330</v>
      </c>
      <c r="E3" s="85" t="s">
        <v>331</v>
      </c>
      <c r="F3" s="85" t="s">
        <v>332</v>
      </c>
      <c r="G3" s="85" t="s">
        <v>333</v>
      </c>
      <c r="H3" s="85" t="s">
        <v>334</v>
      </c>
      <c r="I3" s="85" t="s">
        <v>335</v>
      </c>
      <c r="J3" s="85" t="s">
        <v>336</v>
      </c>
      <c r="K3" s="85" t="s">
        <v>337</v>
      </c>
      <c r="L3" s="85" t="s">
        <v>338</v>
      </c>
      <c r="M3" s="75" t="s">
        <v>7</v>
      </c>
      <c r="N3" s="218"/>
    </row>
    <row r="4" spans="1:14" s="86" customFormat="1" ht="20.100000000000001" customHeight="1">
      <c r="A4" s="211"/>
      <c r="B4" s="211"/>
      <c r="C4" s="211"/>
      <c r="D4" s="74" t="s">
        <v>325</v>
      </c>
      <c r="E4" s="74" t="s">
        <v>325</v>
      </c>
      <c r="F4" s="74" t="s">
        <v>325</v>
      </c>
      <c r="G4" s="74" t="s">
        <v>325</v>
      </c>
      <c r="H4" s="74" t="s">
        <v>325</v>
      </c>
      <c r="I4" s="74" t="s">
        <v>325</v>
      </c>
      <c r="J4" s="74" t="s">
        <v>325</v>
      </c>
      <c r="K4" s="74" t="s">
        <v>325</v>
      </c>
      <c r="L4" s="74" t="s">
        <v>325</v>
      </c>
      <c r="M4" s="74" t="s">
        <v>325</v>
      </c>
      <c r="N4" s="218" t="s">
        <v>325</v>
      </c>
    </row>
    <row r="5" spans="1:14" s="86" customFormat="1" ht="20.100000000000001" customHeight="1">
      <c r="A5" s="92" t="s">
        <v>210</v>
      </c>
      <c r="B5" s="87" t="s">
        <v>339</v>
      </c>
      <c r="C5" s="87" t="s">
        <v>200</v>
      </c>
      <c r="D5" s="88">
        <v>5280</v>
      </c>
      <c r="E5" s="88">
        <v>1440</v>
      </c>
      <c r="F5" s="88">
        <v>175</v>
      </c>
      <c r="G5" s="88">
        <v>0</v>
      </c>
      <c r="H5" s="88">
        <v>0</v>
      </c>
      <c r="I5" s="88">
        <v>0</v>
      </c>
      <c r="J5" s="88">
        <v>500</v>
      </c>
      <c r="K5" s="88">
        <v>750</v>
      </c>
      <c r="L5" s="88">
        <v>0</v>
      </c>
      <c r="M5" s="51">
        <f t="shared" ref="M5:M10" si="0">SUM(D5:L5)</f>
        <v>8145</v>
      </c>
      <c r="N5" s="52">
        <f t="shared" ref="N5:N10" si="1">M5*2</f>
        <v>16290</v>
      </c>
    </row>
    <row r="6" spans="1:14" s="86" customFormat="1" ht="20.100000000000001" customHeight="1">
      <c r="A6" s="92" t="s">
        <v>211</v>
      </c>
      <c r="B6" s="87" t="s">
        <v>339</v>
      </c>
      <c r="C6" s="87" t="s">
        <v>200</v>
      </c>
      <c r="D6" s="88">
        <v>4032</v>
      </c>
      <c r="E6" s="88">
        <v>1152</v>
      </c>
      <c r="F6" s="88">
        <v>105</v>
      </c>
      <c r="G6" s="88">
        <v>0</v>
      </c>
      <c r="H6" s="88">
        <v>0</v>
      </c>
      <c r="I6" s="88">
        <v>0</v>
      </c>
      <c r="J6" s="88">
        <v>300</v>
      </c>
      <c r="K6" s="88">
        <v>900</v>
      </c>
      <c r="L6" s="88">
        <v>0</v>
      </c>
      <c r="M6" s="51">
        <f t="shared" si="0"/>
        <v>6489</v>
      </c>
      <c r="N6" s="52">
        <f t="shared" si="1"/>
        <v>12978</v>
      </c>
    </row>
    <row r="7" spans="1:14" s="86" customFormat="1" ht="20.100000000000001" customHeight="1">
      <c r="A7" s="92" t="s">
        <v>212</v>
      </c>
      <c r="B7" s="87" t="s">
        <v>339</v>
      </c>
      <c r="C7" s="87" t="s">
        <v>200</v>
      </c>
      <c r="D7" s="88">
        <v>960</v>
      </c>
      <c r="E7" s="88">
        <v>576</v>
      </c>
      <c r="F7" s="88">
        <v>35</v>
      </c>
      <c r="G7" s="88">
        <v>0</v>
      </c>
      <c r="H7" s="88">
        <v>0</v>
      </c>
      <c r="I7" s="88">
        <v>0</v>
      </c>
      <c r="J7" s="88">
        <v>100</v>
      </c>
      <c r="K7" s="88">
        <v>100</v>
      </c>
      <c r="L7" s="88">
        <v>0</v>
      </c>
      <c r="M7" s="51">
        <f t="shared" si="0"/>
        <v>1771</v>
      </c>
      <c r="N7" s="52">
        <f t="shared" si="1"/>
        <v>3542</v>
      </c>
    </row>
    <row r="8" spans="1:14" s="86" customFormat="1" ht="20.100000000000001" customHeight="1">
      <c r="A8" s="93" t="s">
        <v>340</v>
      </c>
      <c r="B8" s="87" t="s">
        <v>339</v>
      </c>
      <c r="C8" s="87" t="s">
        <v>200</v>
      </c>
      <c r="D8" s="88">
        <v>6912</v>
      </c>
      <c r="E8" s="88">
        <v>3456</v>
      </c>
      <c r="F8" s="88">
        <v>210</v>
      </c>
      <c r="G8" s="88">
        <v>0</v>
      </c>
      <c r="H8" s="88">
        <v>0</v>
      </c>
      <c r="I8" s="88">
        <v>0</v>
      </c>
      <c r="J8" s="88">
        <v>600</v>
      </c>
      <c r="K8" s="88">
        <v>1800</v>
      </c>
      <c r="L8" s="88">
        <v>0</v>
      </c>
      <c r="M8" s="51">
        <f t="shared" si="0"/>
        <v>12978</v>
      </c>
      <c r="N8" s="52">
        <f t="shared" si="1"/>
        <v>25956</v>
      </c>
    </row>
    <row r="9" spans="1:14" s="86" customFormat="1" ht="20.100000000000001" customHeight="1">
      <c r="A9" s="92" t="s">
        <v>341</v>
      </c>
      <c r="B9" s="87" t="s">
        <v>339</v>
      </c>
      <c r="C9" s="87" t="s">
        <v>200</v>
      </c>
      <c r="D9" s="88">
        <v>4032</v>
      </c>
      <c r="E9" s="88">
        <v>1152</v>
      </c>
      <c r="F9" s="88">
        <v>105</v>
      </c>
      <c r="G9" s="88">
        <v>0</v>
      </c>
      <c r="H9" s="88">
        <v>0</v>
      </c>
      <c r="I9" s="88">
        <v>0</v>
      </c>
      <c r="J9" s="88">
        <v>300</v>
      </c>
      <c r="K9" s="88">
        <v>900</v>
      </c>
      <c r="L9" s="88">
        <v>0</v>
      </c>
      <c r="M9" s="51">
        <f t="shared" si="0"/>
        <v>6489</v>
      </c>
      <c r="N9" s="52">
        <f t="shared" si="1"/>
        <v>12978</v>
      </c>
    </row>
    <row r="10" spans="1:14" s="86" customFormat="1" ht="20.100000000000001" customHeight="1">
      <c r="A10" s="92" t="s">
        <v>342</v>
      </c>
      <c r="B10" s="87" t="s">
        <v>339</v>
      </c>
      <c r="C10" s="87" t="s">
        <v>200</v>
      </c>
      <c r="D10" s="88">
        <v>3168</v>
      </c>
      <c r="E10" s="88">
        <v>1152</v>
      </c>
      <c r="F10" s="88">
        <v>105</v>
      </c>
      <c r="G10" s="88">
        <v>0</v>
      </c>
      <c r="H10" s="88">
        <v>0</v>
      </c>
      <c r="I10" s="88">
        <v>0</v>
      </c>
      <c r="J10" s="88">
        <v>300</v>
      </c>
      <c r="K10" s="88">
        <v>360</v>
      </c>
      <c r="L10" s="88">
        <v>0</v>
      </c>
      <c r="M10" s="51">
        <f t="shared" si="0"/>
        <v>5085</v>
      </c>
      <c r="N10" s="52">
        <f t="shared" si="1"/>
        <v>10170</v>
      </c>
    </row>
    <row r="11" spans="1:14" s="86" customFormat="1" ht="20.100000000000001" customHeight="1">
      <c r="A11" s="89" t="s">
        <v>343</v>
      </c>
      <c r="B11" s="90"/>
      <c r="C11" s="90"/>
      <c r="D11" s="91">
        <f>SUM(D5:D10)</f>
        <v>24384</v>
      </c>
      <c r="E11" s="91">
        <f t="shared" ref="E11:N11" si="2">SUM(E5:E10)</f>
        <v>8928</v>
      </c>
      <c r="F11" s="91">
        <f t="shared" si="2"/>
        <v>735</v>
      </c>
      <c r="G11" s="91">
        <f t="shared" si="2"/>
        <v>0</v>
      </c>
      <c r="H11" s="91">
        <f t="shared" si="2"/>
        <v>0</v>
      </c>
      <c r="I11" s="91">
        <f t="shared" si="2"/>
        <v>0</v>
      </c>
      <c r="J11" s="91">
        <f t="shared" si="2"/>
        <v>2100</v>
      </c>
      <c r="K11" s="91">
        <f t="shared" si="2"/>
        <v>4810</v>
      </c>
      <c r="L11" s="91">
        <f t="shared" si="2"/>
        <v>0</v>
      </c>
      <c r="M11" s="91">
        <f t="shared" si="2"/>
        <v>40957</v>
      </c>
      <c r="N11" s="91">
        <f t="shared" si="2"/>
        <v>81914</v>
      </c>
    </row>
  </sheetData>
  <mergeCells count="6">
    <mergeCell ref="A1:N1"/>
    <mergeCell ref="A2:A4"/>
    <mergeCell ref="B2:B4"/>
    <mergeCell ref="C2:C4"/>
    <mergeCell ref="D2:M2"/>
    <mergeCell ref="N2:N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EU136"/>
  <sheetViews>
    <sheetView topLeftCell="A103" workbookViewId="0">
      <selection activeCell="A16" sqref="A16:XFD72"/>
    </sheetView>
  </sheetViews>
  <sheetFormatPr defaultColWidth="7.875" defaultRowHeight="13.5"/>
  <cols>
    <col min="1" max="1" width="4.5" style="128" customWidth="1"/>
    <col min="2" max="2" width="7.875" style="128"/>
    <col min="3" max="3" width="6.375" style="128" customWidth="1"/>
    <col min="4" max="4" width="7.25" style="128" customWidth="1"/>
    <col min="5" max="5" width="21.625" style="128" customWidth="1"/>
    <col min="6" max="6" width="20.25" style="128" customWidth="1"/>
    <col min="7" max="7" width="6.125" style="128" customWidth="1"/>
    <col min="8" max="8" width="7.875" style="145"/>
    <col min="9" max="9" width="8.75" style="145" customWidth="1"/>
    <col min="10" max="10" width="12.75" style="146" customWidth="1"/>
    <col min="11" max="11" width="12.5" style="162" customWidth="1"/>
    <col min="12" max="16375" width="7.875" style="128"/>
    <col min="16376" max="16384" width="7.875" style="129"/>
  </cols>
  <sheetData>
    <row r="1" spans="1:11" ht="30" customHeight="1">
      <c r="A1" s="231" t="s">
        <v>407</v>
      </c>
      <c r="B1" s="231"/>
      <c r="C1" s="231"/>
      <c r="D1" s="231"/>
      <c r="E1" s="231"/>
      <c r="F1" s="231"/>
      <c r="G1" s="231"/>
      <c r="H1" s="232"/>
      <c r="I1" s="232"/>
      <c r="J1" s="232"/>
      <c r="K1" s="201"/>
    </row>
    <row r="2" spans="1:11" ht="24.95" customHeight="1">
      <c r="A2" s="130" t="s">
        <v>3</v>
      </c>
      <c r="B2" s="130" t="s">
        <v>391</v>
      </c>
      <c r="C2" s="130" t="s">
        <v>392</v>
      </c>
      <c r="D2" s="130" t="s">
        <v>393</v>
      </c>
      <c r="E2" s="131" t="s">
        <v>394</v>
      </c>
      <c r="F2" s="131" t="s">
        <v>395</v>
      </c>
      <c r="G2" s="130" t="s">
        <v>1</v>
      </c>
      <c r="H2" s="132" t="s">
        <v>396</v>
      </c>
      <c r="I2" s="133" t="s">
        <v>397</v>
      </c>
      <c r="J2" s="134" t="s">
        <v>398</v>
      </c>
      <c r="K2" s="130" t="s">
        <v>529</v>
      </c>
    </row>
    <row r="3" spans="1:11" ht="24.95" customHeight="1">
      <c r="A3" s="224">
        <v>1</v>
      </c>
      <c r="B3" s="224" t="s">
        <v>209</v>
      </c>
      <c r="C3" s="224" t="s">
        <v>408</v>
      </c>
      <c r="D3" s="227" t="s">
        <v>404</v>
      </c>
      <c r="E3" s="224" t="s">
        <v>409</v>
      </c>
      <c r="F3" s="135" t="s">
        <v>410</v>
      </c>
      <c r="G3" s="136" t="s">
        <v>399</v>
      </c>
      <c r="H3" s="138">
        <v>240</v>
      </c>
      <c r="I3" s="138">
        <v>257</v>
      </c>
      <c r="J3" s="140">
        <v>61680</v>
      </c>
      <c r="K3" s="219">
        <f>ROUND(J17*0.8,0)</f>
        <v>550623</v>
      </c>
    </row>
    <row r="4" spans="1:11" ht="24.95" customHeight="1">
      <c r="A4" s="225"/>
      <c r="B4" s="225"/>
      <c r="C4" s="225"/>
      <c r="D4" s="228"/>
      <c r="E4" s="225"/>
      <c r="F4" s="135" t="s">
        <v>411</v>
      </c>
      <c r="G4" s="136" t="s">
        <v>399</v>
      </c>
      <c r="H4" s="138">
        <v>700</v>
      </c>
      <c r="I4" s="138">
        <v>245</v>
      </c>
      <c r="J4" s="140">
        <v>171500</v>
      </c>
      <c r="K4" s="219"/>
    </row>
    <row r="5" spans="1:11" ht="24.95" customHeight="1">
      <c r="A5" s="225"/>
      <c r="B5" s="225"/>
      <c r="C5" s="225"/>
      <c r="D5" s="228"/>
      <c r="E5" s="225"/>
      <c r="F5" s="135" t="s">
        <v>412</v>
      </c>
      <c r="G5" s="136" t="s">
        <v>399</v>
      </c>
      <c r="H5" s="138">
        <v>240</v>
      </c>
      <c r="I5" s="138">
        <v>150</v>
      </c>
      <c r="J5" s="140">
        <v>36000</v>
      </c>
      <c r="K5" s="219"/>
    </row>
    <row r="6" spans="1:11" ht="24.95" customHeight="1">
      <c r="A6" s="225"/>
      <c r="B6" s="225"/>
      <c r="C6" s="225"/>
      <c r="D6" s="228"/>
      <c r="E6" s="225"/>
      <c r="F6" s="135" t="s">
        <v>413</v>
      </c>
      <c r="G6" s="136" t="s">
        <v>399</v>
      </c>
      <c r="H6" s="138">
        <v>240</v>
      </c>
      <c r="I6" s="138">
        <v>226</v>
      </c>
      <c r="J6" s="140">
        <v>54240</v>
      </c>
      <c r="K6" s="219"/>
    </row>
    <row r="7" spans="1:11" ht="24.95" customHeight="1">
      <c r="A7" s="225"/>
      <c r="B7" s="225"/>
      <c r="C7" s="225"/>
      <c r="D7" s="228"/>
      <c r="E7" s="225"/>
      <c r="F7" s="135" t="s">
        <v>414</v>
      </c>
      <c r="G7" s="136" t="s">
        <v>415</v>
      </c>
      <c r="H7" s="138">
        <v>1</v>
      </c>
      <c r="I7" s="138">
        <v>135000</v>
      </c>
      <c r="J7" s="140">
        <v>135000</v>
      </c>
      <c r="K7" s="219"/>
    </row>
    <row r="8" spans="1:11" ht="24.95" customHeight="1">
      <c r="A8" s="225"/>
      <c r="B8" s="225"/>
      <c r="C8" s="225"/>
      <c r="D8" s="228"/>
      <c r="E8" s="225"/>
      <c r="F8" s="135" t="s">
        <v>416</v>
      </c>
      <c r="G8" s="135" t="s">
        <v>403</v>
      </c>
      <c r="H8" s="138">
        <v>6</v>
      </c>
      <c r="I8" s="138">
        <v>1500</v>
      </c>
      <c r="J8" s="140">
        <v>9000</v>
      </c>
      <c r="K8" s="219"/>
    </row>
    <row r="9" spans="1:11" ht="24.95" customHeight="1">
      <c r="A9" s="225"/>
      <c r="B9" s="225"/>
      <c r="C9" s="225"/>
      <c r="D9" s="228"/>
      <c r="E9" s="225"/>
      <c r="F9" s="135" t="s">
        <v>417</v>
      </c>
      <c r="G9" s="136" t="s">
        <v>399</v>
      </c>
      <c r="H9" s="138">
        <v>240</v>
      </c>
      <c r="I9" s="138">
        <v>131</v>
      </c>
      <c r="J9" s="140">
        <v>31440</v>
      </c>
      <c r="K9" s="219"/>
    </row>
    <row r="10" spans="1:11" ht="24.95" customHeight="1">
      <c r="A10" s="225"/>
      <c r="B10" s="225"/>
      <c r="C10" s="225"/>
      <c r="D10" s="228"/>
      <c r="E10" s="225"/>
      <c r="F10" s="135" t="s">
        <v>418</v>
      </c>
      <c r="G10" s="136" t="s">
        <v>415</v>
      </c>
      <c r="H10" s="138">
        <v>1</v>
      </c>
      <c r="I10" s="138">
        <v>12075</v>
      </c>
      <c r="J10" s="140">
        <v>12075</v>
      </c>
      <c r="K10" s="219"/>
    </row>
    <row r="11" spans="1:11" ht="24.95" customHeight="1">
      <c r="A11" s="225"/>
      <c r="B11" s="225"/>
      <c r="C11" s="225"/>
      <c r="D11" s="228"/>
      <c r="E11" s="225"/>
      <c r="F11" s="135" t="s">
        <v>419</v>
      </c>
      <c r="G11" s="135" t="s">
        <v>403</v>
      </c>
      <c r="H11" s="138">
        <v>6</v>
      </c>
      <c r="I11" s="138">
        <v>300</v>
      </c>
      <c r="J11" s="140">
        <v>1800</v>
      </c>
      <c r="K11" s="219"/>
    </row>
    <row r="12" spans="1:11" ht="24.95" customHeight="1">
      <c r="A12" s="225"/>
      <c r="B12" s="225"/>
      <c r="C12" s="225"/>
      <c r="D12" s="228"/>
      <c r="E12" s="225"/>
      <c r="F12" s="135" t="s">
        <v>420</v>
      </c>
      <c r="G12" s="135" t="s">
        <v>421</v>
      </c>
      <c r="H12" s="138">
        <v>320</v>
      </c>
      <c r="I12" s="138">
        <v>150</v>
      </c>
      <c r="J12" s="140">
        <v>48000</v>
      </c>
      <c r="K12" s="219"/>
    </row>
    <row r="13" spans="1:11" ht="24.95" customHeight="1">
      <c r="A13" s="225"/>
      <c r="B13" s="225"/>
      <c r="C13" s="225"/>
      <c r="D13" s="228"/>
      <c r="E13" s="225"/>
      <c r="F13" s="135" t="s">
        <v>422</v>
      </c>
      <c r="G13" s="135" t="s">
        <v>423</v>
      </c>
      <c r="H13" s="138">
        <v>18</v>
      </c>
      <c r="I13" s="138">
        <v>1600</v>
      </c>
      <c r="J13" s="140">
        <v>28800</v>
      </c>
      <c r="K13" s="219"/>
    </row>
    <row r="14" spans="1:11" ht="24.95" customHeight="1">
      <c r="A14" s="225"/>
      <c r="B14" s="225"/>
      <c r="C14" s="225"/>
      <c r="D14" s="228"/>
      <c r="E14" s="225"/>
      <c r="F14" s="135" t="s">
        <v>424</v>
      </c>
      <c r="G14" s="147" t="s">
        <v>400</v>
      </c>
      <c r="H14" s="138">
        <v>25</v>
      </c>
      <c r="I14" s="138">
        <v>1000</v>
      </c>
      <c r="J14" s="140">
        <v>25000</v>
      </c>
      <c r="K14" s="219"/>
    </row>
    <row r="15" spans="1:11" ht="24.95" customHeight="1">
      <c r="A15" s="225"/>
      <c r="B15" s="225"/>
      <c r="C15" s="225"/>
      <c r="D15" s="228"/>
      <c r="E15" s="137" t="s">
        <v>401</v>
      </c>
      <c r="F15" s="135"/>
      <c r="G15" s="135"/>
      <c r="H15" s="148"/>
      <c r="I15" s="148"/>
      <c r="J15" s="134">
        <v>614535</v>
      </c>
      <c r="K15" s="219"/>
    </row>
    <row r="16" spans="1:11" ht="24.95" customHeight="1">
      <c r="A16" s="225"/>
      <c r="B16" s="225"/>
      <c r="C16" s="225"/>
      <c r="D16" s="228"/>
      <c r="E16" s="149" t="s">
        <v>425</v>
      </c>
      <c r="F16" s="135"/>
      <c r="G16" s="135"/>
      <c r="H16" s="148"/>
      <c r="I16" s="148"/>
      <c r="J16" s="139">
        <v>73744.2</v>
      </c>
      <c r="K16" s="219"/>
    </row>
    <row r="17" spans="1:11" ht="24.95" customHeight="1">
      <c r="A17" s="226"/>
      <c r="B17" s="226"/>
      <c r="C17" s="226"/>
      <c r="D17" s="229"/>
      <c r="E17" s="137" t="s">
        <v>402</v>
      </c>
      <c r="F17" s="135"/>
      <c r="G17" s="135"/>
      <c r="H17" s="138"/>
      <c r="I17" s="138"/>
      <c r="J17" s="134">
        <v>688279.2</v>
      </c>
      <c r="K17" s="219"/>
    </row>
    <row r="18" spans="1:11" ht="24.95" customHeight="1">
      <c r="A18" s="224">
        <v>2</v>
      </c>
      <c r="B18" s="224" t="s">
        <v>203</v>
      </c>
      <c r="C18" s="224" t="s">
        <v>426</v>
      </c>
      <c r="D18" s="227" t="s">
        <v>404</v>
      </c>
      <c r="E18" s="223" t="s">
        <v>427</v>
      </c>
      <c r="F18" s="150" t="s">
        <v>428</v>
      </c>
      <c r="G18" s="136" t="s">
        <v>399</v>
      </c>
      <c r="H18" s="138">
        <v>1000</v>
      </c>
      <c r="I18" s="138">
        <v>50</v>
      </c>
      <c r="J18" s="140">
        <v>50000</v>
      </c>
      <c r="K18" s="219">
        <f>ROUND(J28*0.8,0)</f>
        <v>431556</v>
      </c>
    </row>
    <row r="19" spans="1:11" ht="24.95" customHeight="1">
      <c r="A19" s="225"/>
      <c r="B19" s="225"/>
      <c r="C19" s="225"/>
      <c r="D19" s="228"/>
      <c r="E19" s="223"/>
      <c r="F19" s="150" t="s">
        <v>429</v>
      </c>
      <c r="G19" s="136" t="s">
        <v>399</v>
      </c>
      <c r="H19" s="138">
        <v>1000</v>
      </c>
      <c r="I19" s="138">
        <v>268</v>
      </c>
      <c r="J19" s="140">
        <v>268000</v>
      </c>
      <c r="K19" s="219"/>
    </row>
    <row r="20" spans="1:11" ht="24.95" customHeight="1">
      <c r="A20" s="225"/>
      <c r="B20" s="225"/>
      <c r="C20" s="225"/>
      <c r="D20" s="230"/>
      <c r="E20" s="224" t="s">
        <v>430</v>
      </c>
      <c r="F20" s="150" t="s">
        <v>431</v>
      </c>
      <c r="G20" s="136" t="s">
        <v>399</v>
      </c>
      <c r="H20" s="138">
        <v>512</v>
      </c>
      <c r="I20" s="138">
        <v>48</v>
      </c>
      <c r="J20" s="140">
        <v>24576</v>
      </c>
      <c r="K20" s="219"/>
    </row>
    <row r="21" spans="1:11" ht="24.95" customHeight="1">
      <c r="A21" s="225"/>
      <c r="B21" s="225"/>
      <c r="C21" s="225"/>
      <c r="D21" s="230"/>
      <c r="E21" s="228"/>
      <c r="F21" s="150" t="s">
        <v>432</v>
      </c>
      <c r="G21" s="136" t="s">
        <v>399</v>
      </c>
      <c r="H21" s="138">
        <v>525</v>
      </c>
      <c r="I21" s="138">
        <v>80</v>
      </c>
      <c r="J21" s="140">
        <v>42000</v>
      </c>
      <c r="K21" s="219"/>
    </row>
    <row r="22" spans="1:11" ht="24.95" customHeight="1">
      <c r="A22" s="225"/>
      <c r="B22" s="225"/>
      <c r="C22" s="225"/>
      <c r="D22" s="230"/>
      <c r="E22" s="228"/>
      <c r="F22" s="150" t="s">
        <v>433</v>
      </c>
      <c r="G22" s="136" t="s">
        <v>399</v>
      </c>
      <c r="H22" s="138">
        <v>525</v>
      </c>
      <c r="I22" s="138">
        <v>50</v>
      </c>
      <c r="J22" s="140">
        <v>26250</v>
      </c>
      <c r="K22" s="219"/>
    </row>
    <row r="23" spans="1:11" ht="24.95" customHeight="1">
      <c r="A23" s="225"/>
      <c r="B23" s="225"/>
      <c r="C23" s="225"/>
      <c r="D23" s="230"/>
      <c r="E23" s="229"/>
      <c r="F23" s="150" t="s">
        <v>434</v>
      </c>
      <c r="G23" s="136" t="s">
        <v>399</v>
      </c>
      <c r="H23" s="138">
        <v>600</v>
      </c>
      <c r="I23" s="138">
        <v>60</v>
      </c>
      <c r="J23" s="140">
        <v>36000</v>
      </c>
      <c r="K23" s="219"/>
    </row>
    <row r="24" spans="1:11" ht="24.95" customHeight="1">
      <c r="A24" s="225"/>
      <c r="B24" s="225"/>
      <c r="C24" s="225"/>
      <c r="D24" s="228"/>
      <c r="E24" s="137" t="s">
        <v>401</v>
      </c>
      <c r="F24" s="135"/>
      <c r="G24" s="135"/>
      <c r="H24" s="138"/>
      <c r="I24" s="138"/>
      <c r="J24" s="134">
        <v>446826</v>
      </c>
      <c r="K24" s="219"/>
    </row>
    <row r="25" spans="1:11" ht="24.95" customHeight="1">
      <c r="A25" s="225"/>
      <c r="B25" s="225"/>
      <c r="C25" s="225"/>
      <c r="D25" s="228"/>
      <c r="E25" s="149" t="s">
        <v>425</v>
      </c>
      <c r="F25" s="135"/>
      <c r="G25" s="135"/>
      <c r="H25" s="138"/>
      <c r="I25" s="138"/>
      <c r="J25" s="134">
        <v>53619.12</v>
      </c>
      <c r="K25" s="219"/>
    </row>
    <row r="26" spans="1:11" ht="24.95" customHeight="1">
      <c r="A26" s="225"/>
      <c r="B26" s="225"/>
      <c r="C26" s="225"/>
      <c r="D26" s="228"/>
      <c r="E26" s="141" t="s">
        <v>405</v>
      </c>
      <c r="F26" s="135"/>
      <c r="G26" s="135" t="s">
        <v>406</v>
      </c>
      <c r="H26" s="138">
        <v>5</v>
      </c>
      <c r="I26" s="138">
        <v>1800</v>
      </c>
      <c r="J26" s="140">
        <v>9000</v>
      </c>
      <c r="K26" s="219"/>
    </row>
    <row r="27" spans="1:11" ht="24.95" customHeight="1">
      <c r="A27" s="225"/>
      <c r="B27" s="225"/>
      <c r="C27" s="225"/>
      <c r="D27" s="228"/>
      <c r="E27" s="141" t="s">
        <v>435</v>
      </c>
      <c r="F27" s="135"/>
      <c r="G27" s="135" t="s">
        <v>415</v>
      </c>
      <c r="H27" s="138">
        <v>1</v>
      </c>
      <c r="I27" s="138">
        <v>30000</v>
      </c>
      <c r="J27" s="140">
        <v>30000</v>
      </c>
      <c r="K27" s="219"/>
    </row>
    <row r="28" spans="1:11" ht="24.95" customHeight="1">
      <c r="A28" s="226"/>
      <c r="B28" s="226"/>
      <c r="C28" s="226"/>
      <c r="D28" s="229"/>
      <c r="E28" s="137" t="s">
        <v>402</v>
      </c>
      <c r="F28" s="135"/>
      <c r="G28" s="135"/>
      <c r="H28" s="138"/>
      <c r="I28" s="138"/>
      <c r="J28" s="134">
        <v>539445.12</v>
      </c>
      <c r="K28" s="219"/>
    </row>
    <row r="29" spans="1:11" ht="24.95" customHeight="1">
      <c r="A29" s="228">
        <v>3</v>
      </c>
      <c r="B29" s="225" t="s">
        <v>436</v>
      </c>
      <c r="C29" s="225" t="s">
        <v>437</v>
      </c>
      <c r="D29" s="228" t="s">
        <v>438</v>
      </c>
      <c r="E29" s="223" t="s">
        <v>439</v>
      </c>
      <c r="F29" s="147" t="s">
        <v>440</v>
      </c>
      <c r="G29" s="136" t="s">
        <v>399</v>
      </c>
      <c r="H29" s="151">
        <v>1440</v>
      </c>
      <c r="I29" s="151">
        <v>50</v>
      </c>
      <c r="J29" s="140">
        <v>72000</v>
      </c>
      <c r="K29" s="219">
        <f>ROUND(J34*0.8,0)</f>
        <v>434296</v>
      </c>
    </row>
    <row r="30" spans="1:11" ht="24.95" customHeight="1">
      <c r="A30" s="228"/>
      <c r="B30" s="225"/>
      <c r="C30" s="225"/>
      <c r="D30" s="228"/>
      <c r="E30" s="223"/>
      <c r="F30" s="135" t="s">
        <v>441</v>
      </c>
      <c r="G30" s="136" t="s">
        <v>399</v>
      </c>
      <c r="H30" s="138">
        <v>1440</v>
      </c>
      <c r="I30" s="138">
        <v>268</v>
      </c>
      <c r="J30" s="140">
        <v>385920</v>
      </c>
      <c r="K30" s="219"/>
    </row>
    <row r="31" spans="1:11" ht="24.95" customHeight="1">
      <c r="A31" s="228"/>
      <c r="B31" s="225"/>
      <c r="C31" s="225"/>
      <c r="D31" s="228"/>
      <c r="E31" s="137" t="s">
        <v>401</v>
      </c>
      <c r="F31" s="135"/>
      <c r="G31" s="135"/>
      <c r="H31" s="138"/>
      <c r="I31" s="138"/>
      <c r="J31" s="134">
        <v>457920</v>
      </c>
      <c r="K31" s="219"/>
    </row>
    <row r="32" spans="1:11" ht="24.95" customHeight="1">
      <c r="A32" s="228"/>
      <c r="B32" s="225"/>
      <c r="C32" s="225"/>
      <c r="D32" s="228"/>
      <c r="E32" s="137" t="s">
        <v>425</v>
      </c>
      <c r="F32" s="135"/>
      <c r="G32" s="135"/>
      <c r="H32" s="138"/>
      <c r="I32" s="138"/>
      <c r="J32" s="134">
        <v>54950.400000000001</v>
      </c>
      <c r="K32" s="219"/>
    </row>
    <row r="33" spans="1:11" ht="24.95" customHeight="1">
      <c r="A33" s="228"/>
      <c r="B33" s="225"/>
      <c r="C33" s="225"/>
      <c r="D33" s="228"/>
      <c r="E33" s="141" t="s">
        <v>435</v>
      </c>
      <c r="F33" s="135"/>
      <c r="G33" s="135" t="s">
        <v>415</v>
      </c>
      <c r="H33" s="138">
        <v>1</v>
      </c>
      <c r="I33" s="138">
        <v>30000</v>
      </c>
      <c r="J33" s="140">
        <v>30000</v>
      </c>
      <c r="K33" s="219"/>
    </row>
    <row r="34" spans="1:11" ht="24.95" customHeight="1">
      <c r="A34" s="229"/>
      <c r="B34" s="226"/>
      <c r="C34" s="226"/>
      <c r="D34" s="229"/>
      <c r="E34" s="137" t="s">
        <v>402</v>
      </c>
      <c r="F34" s="135"/>
      <c r="G34" s="135"/>
      <c r="H34" s="138"/>
      <c r="I34" s="138"/>
      <c r="J34" s="134">
        <v>542870.4</v>
      </c>
      <c r="K34" s="219"/>
    </row>
    <row r="35" spans="1:11" ht="24.95" customHeight="1">
      <c r="A35" s="224">
        <v>4</v>
      </c>
      <c r="B35" s="224" t="s">
        <v>201</v>
      </c>
      <c r="C35" s="224" t="s">
        <v>442</v>
      </c>
      <c r="D35" s="227" t="s">
        <v>404</v>
      </c>
      <c r="E35" s="223" t="s">
        <v>443</v>
      </c>
      <c r="F35" s="147" t="s">
        <v>444</v>
      </c>
      <c r="G35" s="135" t="s">
        <v>399</v>
      </c>
      <c r="H35" s="151">
        <v>2500</v>
      </c>
      <c r="I35" s="151">
        <v>36</v>
      </c>
      <c r="J35" s="140">
        <v>90000</v>
      </c>
      <c r="K35" s="219">
        <f>ROUND(J54*0.8,0)</f>
        <v>1642610</v>
      </c>
    </row>
    <row r="36" spans="1:11" ht="24.95" customHeight="1">
      <c r="A36" s="225"/>
      <c r="B36" s="225"/>
      <c r="C36" s="225"/>
      <c r="D36" s="228"/>
      <c r="E36" s="223"/>
      <c r="F36" s="135" t="s">
        <v>445</v>
      </c>
      <c r="G36" s="135" t="s">
        <v>399</v>
      </c>
      <c r="H36" s="138">
        <v>2500</v>
      </c>
      <c r="I36" s="138">
        <v>129</v>
      </c>
      <c r="J36" s="140">
        <v>322500</v>
      </c>
      <c r="K36" s="219"/>
    </row>
    <row r="37" spans="1:11" ht="24.95" customHeight="1">
      <c r="A37" s="225"/>
      <c r="B37" s="225"/>
      <c r="C37" s="225"/>
      <c r="D37" s="228"/>
      <c r="E37" s="135" t="s">
        <v>446</v>
      </c>
      <c r="F37" s="135" t="s">
        <v>447</v>
      </c>
      <c r="G37" s="135" t="s">
        <v>415</v>
      </c>
      <c r="H37" s="138">
        <v>1</v>
      </c>
      <c r="I37" s="138">
        <v>50000</v>
      </c>
      <c r="J37" s="140">
        <v>50000</v>
      </c>
      <c r="K37" s="219"/>
    </row>
    <row r="38" spans="1:11" ht="24.95" customHeight="1">
      <c r="A38" s="225"/>
      <c r="B38" s="225"/>
      <c r="C38" s="225"/>
      <c r="D38" s="228"/>
      <c r="E38" s="147" t="s">
        <v>448</v>
      </c>
      <c r="F38" s="135" t="s">
        <v>449</v>
      </c>
      <c r="G38" s="135" t="s">
        <v>399</v>
      </c>
      <c r="H38" s="138">
        <v>30</v>
      </c>
      <c r="I38" s="138">
        <v>1500</v>
      </c>
      <c r="J38" s="140">
        <v>45000</v>
      </c>
      <c r="K38" s="219"/>
    </row>
    <row r="39" spans="1:11" ht="24.95" customHeight="1">
      <c r="A39" s="225"/>
      <c r="B39" s="225"/>
      <c r="C39" s="225"/>
      <c r="D39" s="228"/>
      <c r="E39" s="227" t="s">
        <v>450</v>
      </c>
      <c r="F39" s="135" t="s">
        <v>451</v>
      </c>
      <c r="G39" s="135" t="s">
        <v>415</v>
      </c>
      <c r="H39" s="138">
        <v>1</v>
      </c>
      <c r="I39" s="138">
        <v>268500</v>
      </c>
      <c r="J39" s="140">
        <v>268500</v>
      </c>
      <c r="K39" s="219"/>
    </row>
    <row r="40" spans="1:11" ht="24.95" customHeight="1">
      <c r="A40" s="225"/>
      <c r="B40" s="225"/>
      <c r="C40" s="225"/>
      <c r="D40" s="228"/>
      <c r="E40" s="228"/>
      <c r="F40" s="135" t="s">
        <v>410</v>
      </c>
      <c r="G40" s="136" t="s">
        <v>399</v>
      </c>
      <c r="H40" s="138">
        <v>344</v>
      </c>
      <c r="I40" s="138">
        <v>257</v>
      </c>
      <c r="J40" s="140">
        <v>88408</v>
      </c>
      <c r="K40" s="219"/>
    </row>
    <row r="41" spans="1:11" ht="24.95" customHeight="1">
      <c r="A41" s="225"/>
      <c r="B41" s="225"/>
      <c r="C41" s="225"/>
      <c r="D41" s="228"/>
      <c r="E41" s="228"/>
      <c r="F41" s="135" t="s">
        <v>411</v>
      </c>
      <c r="G41" s="136" t="s">
        <v>399</v>
      </c>
      <c r="H41" s="138">
        <v>1460</v>
      </c>
      <c r="I41" s="138">
        <v>245</v>
      </c>
      <c r="J41" s="140">
        <v>357700</v>
      </c>
      <c r="K41" s="219"/>
    </row>
    <row r="42" spans="1:11" ht="24.95" customHeight="1">
      <c r="A42" s="225"/>
      <c r="B42" s="225"/>
      <c r="C42" s="225"/>
      <c r="D42" s="228"/>
      <c r="E42" s="228"/>
      <c r="F42" s="135" t="s">
        <v>412</v>
      </c>
      <c r="G42" s="136" t="s">
        <v>399</v>
      </c>
      <c r="H42" s="138">
        <v>344</v>
      </c>
      <c r="I42" s="138">
        <v>150</v>
      </c>
      <c r="J42" s="140">
        <v>51600</v>
      </c>
      <c r="K42" s="219"/>
    </row>
    <row r="43" spans="1:11" ht="24.95" customHeight="1">
      <c r="A43" s="225"/>
      <c r="B43" s="225"/>
      <c r="C43" s="225"/>
      <c r="D43" s="228"/>
      <c r="E43" s="228"/>
      <c r="F43" s="135" t="s">
        <v>413</v>
      </c>
      <c r="G43" s="136" t="s">
        <v>399</v>
      </c>
      <c r="H43" s="138">
        <v>344</v>
      </c>
      <c r="I43" s="138">
        <v>226</v>
      </c>
      <c r="J43" s="140">
        <v>77744</v>
      </c>
      <c r="K43" s="219"/>
    </row>
    <row r="44" spans="1:11" ht="24.95" customHeight="1">
      <c r="A44" s="225"/>
      <c r="B44" s="225"/>
      <c r="C44" s="225"/>
      <c r="D44" s="228"/>
      <c r="E44" s="228"/>
      <c r="F44" s="135" t="s">
        <v>417</v>
      </c>
      <c r="G44" s="136" t="s">
        <v>399</v>
      </c>
      <c r="H44" s="138">
        <v>344</v>
      </c>
      <c r="I44" s="138">
        <v>131</v>
      </c>
      <c r="J44" s="140">
        <v>45064</v>
      </c>
      <c r="K44" s="219"/>
    </row>
    <row r="45" spans="1:11" ht="24.95" customHeight="1">
      <c r="A45" s="225"/>
      <c r="B45" s="225"/>
      <c r="C45" s="225"/>
      <c r="D45" s="228"/>
      <c r="E45" s="223" t="s">
        <v>452</v>
      </c>
      <c r="F45" s="135" t="s">
        <v>453</v>
      </c>
      <c r="G45" s="135" t="s">
        <v>399</v>
      </c>
      <c r="H45" s="138">
        <v>2800</v>
      </c>
      <c r="I45" s="138">
        <v>20</v>
      </c>
      <c r="J45" s="140">
        <v>56000</v>
      </c>
      <c r="K45" s="219"/>
    </row>
    <row r="46" spans="1:11" ht="24.95" customHeight="1">
      <c r="A46" s="225"/>
      <c r="B46" s="225"/>
      <c r="C46" s="225"/>
      <c r="D46" s="228"/>
      <c r="E46" s="223"/>
      <c r="F46" s="135" t="s">
        <v>454</v>
      </c>
      <c r="G46" s="135" t="s">
        <v>399</v>
      </c>
      <c r="H46" s="138">
        <v>2800</v>
      </c>
      <c r="I46" s="138">
        <v>90</v>
      </c>
      <c r="J46" s="140">
        <v>252000</v>
      </c>
      <c r="K46" s="219"/>
    </row>
    <row r="47" spans="1:11" ht="24.95" customHeight="1">
      <c r="A47" s="225"/>
      <c r="B47" s="225"/>
      <c r="C47" s="225"/>
      <c r="D47" s="228"/>
      <c r="E47" s="223"/>
      <c r="F47" s="135" t="s">
        <v>455</v>
      </c>
      <c r="G47" s="135" t="s">
        <v>399</v>
      </c>
      <c r="H47" s="138">
        <v>100</v>
      </c>
      <c r="I47" s="138">
        <v>200</v>
      </c>
      <c r="J47" s="140">
        <v>20000</v>
      </c>
      <c r="K47" s="219"/>
    </row>
    <row r="48" spans="1:11" ht="24.95" customHeight="1">
      <c r="A48" s="225"/>
      <c r="B48" s="225"/>
      <c r="C48" s="225"/>
      <c r="D48" s="228"/>
      <c r="E48" s="224" t="s">
        <v>456</v>
      </c>
      <c r="F48" s="135" t="s">
        <v>457</v>
      </c>
      <c r="G48" s="135" t="s">
        <v>458</v>
      </c>
      <c r="H48" s="138">
        <v>50</v>
      </c>
      <c r="I48" s="152">
        <v>50</v>
      </c>
      <c r="J48" s="140">
        <v>2500</v>
      </c>
      <c r="K48" s="219"/>
    </row>
    <row r="49" spans="1:11" ht="24.95" customHeight="1">
      <c r="A49" s="225"/>
      <c r="B49" s="225"/>
      <c r="C49" s="225"/>
      <c r="D49" s="228"/>
      <c r="E49" s="226"/>
      <c r="F49" s="135" t="s">
        <v>459</v>
      </c>
      <c r="G49" s="147" t="s">
        <v>460</v>
      </c>
      <c r="H49" s="138">
        <v>300</v>
      </c>
      <c r="I49" s="152">
        <v>40</v>
      </c>
      <c r="J49" s="140">
        <v>12000</v>
      </c>
      <c r="K49" s="219"/>
    </row>
    <row r="50" spans="1:11" ht="24.95" customHeight="1">
      <c r="A50" s="225"/>
      <c r="B50" s="225"/>
      <c r="C50" s="225"/>
      <c r="D50" s="228"/>
      <c r="E50" s="137" t="s">
        <v>401</v>
      </c>
      <c r="F50" s="135"/>
      <c r="G50" s="135"/>
      <c r="H50" s="138"/>
      <c r="I50" s="138"/>
      <c r="J50" s="134">
        <v>1739016</v>
      </c>
      <c r="K50" s="219"/>
    </row>
    <row r="51" spans="1:11" ht="24.95" customHeight="1">
      <c r="A51" s="225"/>
      <c r="B51" s="225"/>
      <c r="C51" s="225"/>
      <c r="D51" s="228"/>
      <c r="E51" s="131" t="s">
        <v>425</v>
      </c>
      <c r="F51" s="135"/>
      <c r="G51" s="135"/>
      <c r="H51" s="138"/>
      <c r="I51" s="138"/>
      <c r="J51" s="139">
        <v>173901.6</v>
      </c>
      <c r="K51" s="219"/>
    </row>
    <row r="52" spans="1:11" ht="24.95" customHeight="1">
      <c r="A52" s="225"/>
      <c r="B52" s="225"/>
      <c r="C52" s="225"/>
      <c r="D52" s="228"/>
      <c r="E52" s="147" t="s">
        <v>461</v>
      </c>
      <c r="F52" s="137"/>
      <c r="G52" s="135" t="s">
        <v>415</v>
      </c>
      <c r="H52" s="138">
        <v>1</v>
      </c>
      <c r="I52" s="138">
        <v>6377.32</v>
      </c>
      <c r="J52" s="153">
        <v>6377.32</v>
      </c>
      <c r="K52" s="219"/>
    </row>
    <row r="53" spans="1:11" ht="24.95" customHeight="1">
      <c r="A53" s="225"/>
      <c r="B53" s="225"/>
      <c r="C53" s="225"/>
      <c r="D53" s="228"/>
      <c r="E53" s="141" t="s">
        <v>462</v>
      </c>
      <c r="F53" s="135"/>
      <c r="G53" s="136" t="s">
        <v>399</v>
      </c>
      <c r="H53" s="138">
        <v>8373</v>
      </c>
      <c r="I53" s="138">
        <v>16</v>
      </c>
      <c r="J53" s="142">
        <v>133968</v>
      </c>
      <c r="K53" s="219"/>
    </row>
    <row r="54" spans="1:11" ht="24.95" customHeight="1">
      <c r="A54" s="226"/>
      <c r="B54" s="226"/>
      <c r="C54" s="226"/>
      <c r="D54" s="229"/>
      <c r="E54" s="137" t="s">
        <v>402</v>
      </c>
      <c r="F54" s="135"/>
      <c r="G54" s="136" t="s">
        <v>399</v>
      </c>
      <c r="H54" s="138"/>
      <c r="I54" s="138"/>
      <c r="J54" s="134">
        <v>2053262.92</v>
      </c>
      <c r="K54" s="219"/>
    </row>
    <row r="55" spans="1:11" ht="24.95" customHeight="1">
      <c r="A55" s="224">
        <v>5</v>
      </c>
      <c r="B55" s="224" t="s">
        <v>463</v>
      </c>
      <c r="C55" s="224" t="s">
        <v>464</v>
      </c>
      <c r="D55" s="227" t="s">
        <v>404</v>
      </c>
      <c r="E55" s="224" t="s">
        <v>465</v>
      </c>
      <c r="F55" s="135" t="s">
        <v>466</v>
      </c>
      <c r="G55" s="135" t="s">
        <v>415</v>
      </c>
      <c r="H55" s="138">
        <v>1</v>
      </c>
      <c r="I55" s="138">
        <v>115000</v>
      </c>
      <c r="J55" s="140">
        <v>115000</v>
      </c>
      <c r="K55" s="219">
        <f>ROUND(J69*0.8,0)</f>
        <v>440151</v>
      </c>
    </row>
    <row r="56" spans="1:11" ht="24.95" customHeight="1">
      <c r="A56" s="225"/>
      <c r="B56" s="225"/>
      <c r="C56" s="225"/>
      <c r="D56" s="228"/>
      <c r="E56" s="225"/>
      <c r="F56" s="135" t="s">
        <v>412</v>
      </c>
      <c r="G56" s="136" t="s">
        <v>399</v>
      </c>
      <c r="H56" s="138">
        <v>130</v>
      </c>
      <c r="I56" s="138">
        <v>150</v>
      </c>
      <c r="J56" s="140">
        <v>19500</v>
      </c>
      <c r="K56" s="219"/>
    </row>
    <row r="57" spans="1:11" ht="24.95" customHeight="1">
      <c r="A57" s="225"/>
      <c r="B57" s="225"/>
      <c r="C57" s="225"/>
      <c r="D57" s="228"/>
      <c r="E57" s="225"/>
      <c r="F57" s="135" t="s">
        <v>411</v>
      </c>
      <c r="G57" s="136" t="s">
        <v>399</v>
      </c>
      <c r="H57" s="138">
        <v>480</v>
      </c>
      <c r="I57" s="138">
        <v>245</v>
      </c>
      <c r="J57" s="140">
        <v>117600</v>
      </c>
      <c r="K57" s="219"/>
    </row>
    <row r="58" spans="1:11" ht="24.95" customHeight="1">
      <c r="A58" s="225"/>
      <c r="B58" s="225"/>
      <c r="C58" s="225"/>
      <c r="D58" s="228"/>
      <c r="E58" s="225"/>
      <c r="F58" s="135" t="s">
        <v>410</v>
      </c>
      <c r="G58" s="136" t="s">
        <v>399</v>
      </c>
      <c r="H58" s="138">
        <v>130</v>
      </c>
      <c r="I58" s="138">
        <v>257</v>
      </c>
      <c r="J58" s="140">
        <v>33410</v>
      </c>
      <c r="K58" s="219"/>
    </row>
    <row r="59" spans="1:11" ht="24.95" customHeight="1">
      <c r="A59" s="225"/>
      <c r="B59" s="225"/>
      <c r="C59" s="225"/>
      <c r="D59" s="228"/>
      <c r="E59" s="225"/>
      <c r="F59" s="135" t="s">
        <v>413</v>
      </c>
      <c r="G59" s="136" t="s">
        <v>399</v>
      </c>
      <c r="H59" s="138">
        <v>130</v>
      </c>
      <c r="I59" s="138">
        <v>226</v>
      </c>
      <c r="J59" s="140">
        <v>29380</v>
      </c>
      <c r="K59" s="219"/>
    </row>
    <row r="60" spans="1:11" ht="24.95" customHeight="1">
      <c r="A60" s="225"/>
      <c r="B60" s="225"/>
      <c r="C60" s="225"/>
      <c r="D60" s="228"/>
      <c r="E60" s="225"/>
      <c r="F60" s="135" t="s">
        <v>420</v>
      </c>
      <c r="G60" s="135" t="s">
        <v>399</v>
      </c>
      <c r="H60" s="138">
        <v>60</v>
      </c>
      <c r="I60" s="138">
        <v>150</v>
      </c>
      <c r="J60" s="140">
        <v>9000</v>
      </c>
      <c r="K60" s="219"/>
    </row>
    <row r="61" spans="1:11" ht="24.95" customHeight="1">
      <c r="A61" s="225"/>
      <c r="B61" s="225"/>
      <c r="C61" s="225"/>
      <c r="D61" s="228"/>
      <c r="E61" s="225"/>
      <c r="F61" s="135" t="s">
        <v>467</v>
      </c>
      <c r="G61" s="136" t="s">
        <v>415</v>
      </c>
      <c r="H61" s="138">
        <v>1</v>
      </c>
      <c r="I61" s="138">
        <v>21600</v>
      </c>
      <c r="J61" s="140">
        <v>21600</v>
      </c>
      <c r="K61" s="219"/>
    </row>
    <row r="62" spans="1:11" ht="24.95" customHeight="1">
      <c r="A62" s="225"/>
      <c r="B62" s="225"/>
      <c r="C62" s="225"/>
      <c r="D62" s="228"/>
      <c r="E62" s="224" t="s">
        <v>468</v>
      </c>
      <c r="F62" s="135" t="s">
        <v>444</v>
      </c>
      <c r="G62" s="136" t="s">
        <v>399</v>
      </c>
      <c r="H62" s="138">
        <v>750</v>
      </c>
      <c r="I62" s="138">
        <v>36</v>
      </c>
      <c r="J62" s="140">
        <v>27000</v>
      </c>
      <c r="K62" s="219"/>
    </row>
    <row r="63" spans="1:11" ht="24.95" customHeight="1">
      <c r="A63" s="225"/>
      <c r="B63" s="225"/>
      <c r="C63" s="225"/>
      <c r="D63" s="228"/>
      <c r="E63" s="225"/>
      <c r="F63" s="135" t="s">
        <v>469</v>
      </c>
      <c r="G63" s="136" t="s">
        <v>399</v>
      </c>
      <c r="H63" s="138">
        <v>750</v>
      </c>
      <c r="I63" s="138">
        <v>129</v>
      </c>
      <c r="J63" s="140">
        <v>96750</v>
      </c>
      <c r="K63" s="219"/>
    </row>
    <row r="64" spans="1:11" ht="24.95" customHeight="1">
      <c r="A64" s="225"/>
      <c r="B64" s="225"/>
      <c r="C64" s="225"/>
      <c r="D64" s="228"/>
      <c r="E64" s="225"/>
      <c r="F64" s="135" t="s">
        <v>457</v>
      </c>
      <c r="G64" s="136" t="s">
        <v>399</v>
      </c>
      <c r="H64" s="138">
        <v>60</v>
      </c>
      <c r="I64" s="152">
        <v>50</v>
      </c>
      <c r="J64" s="140">
        <v>3000</v>
      </c>
      <c r="K64" s="219"/>
    </row>
    <row r="65" spans="1:11" ht="24.95" customHeight="1">
      <c r="A65" s="225"/>
      <c r="B65" s="225"/>
      <c r="C65" s="225"/>
      <c r="D65" s="228"/>
      <c r="E65" s="225"/>
      <c r="F65" s="135" t="s">
        <v>470</v>
      </c>
      <c r="G65" s="147" t="s">
        <v>400</v>
      </c>
      <c r="H65" s="138">
        <v>100</v>
      </c>
      <c r="I65" s="152">
        <v>30</v>
      </c>
      <c r="J65" s="140">
        <v>3000</v>
      </c>
      <c r="K65" s="219"/>
    </row>
    <row r="66" spans="1:11" ht="24.95" customHeight="1">
      <c r="A66" s="225"/>
      <c r="B66" s="225"/>
      <c r="C66" s="225"/>
      <c r="D66" s="228"/>
      <c r="E66" s="226"/>
      <c r="F66" s="135" t="s">
        <v>459</v>
      </c>
      <c r="G66" s="147" t="s">
        <v>400</v>
      </c>
      <c r="H66" s="138">
        <v>400</v>
      </c>
      <c r="I66" s="152">
        <v>40</v>
      </c>
      <c r="J66" s="140">
        <v>16000</v>
      </c>
      <c r="K66" s="219"/>
    </row>
    <row r="67" spans="1:11" ht="24.95" customHeight="1">
      <c r="A67" s="225"/>
      <c r="B67" s="225"/>
      <c r="C67" s="225"/>
      <c r="D67" s="228"/>
      <c r="E67" s="137" t="s">
        <v>401</v>
      </c>
      <c r="F67" s="135"/>
      <c r="G67" s="135"/>
      <c r="H67" s="138"/>
      <c r="I67" s="138"/>
      <c r="J67" s="134">
        <v>491240</v>
      </c>
      <c r="K67" s="219"/>
    </row>
    <row r="68" spans="1:11" ht="24.95" customHeight="1">
      <c r="A68" s="225"/>
      <c r="B68" s="225"/>
      <c r="C68" s="225"/>
      <c r="D68" s="228"/>
      <c r="E68" s="149" t="s">
        <v>425</v>
      </c>
      <c r="F68" s="135"/>
      <c r="G68" s="135"/>
      <c r="H68" s="138"/>
      <c r="I68" s="138"/>
      <c r="J68" s="139">
        <v>58948.800000000003</v>
      </c>
      <c r="K68" s="219"/>
    </row>
    <row r="69" spans="1:11" ht="24.95" customHeight="1">
      <c r="A69" s="226"/>
      <c r="B69" s="226"/>
      <c r="C69" s="226"/>
      <c r="D69" s="229"/>
      <c r="E69" s="137" t="s">
        <v>402</v>
      </c>
      <c r="F69" s="135"/>
      <c r="G69" s="135"/>
      <c r="H69" s="138"/>
      <c r="I69" s="138"/>
      <c r="J69" s="139">
        <v>550188.80000000005</v>
      </c>
      <c r="K69" s="219"/>
    </row>
    <row r="70" spans="1:11" s="154" customFormat="1" ht="24.95" customHeight="1">
      <c r="A70" s="220">
        <v>6</v>
      </c>
      <c r="B70" s="223" t="s">
        <v>471</v>
      </c>
      <c r="C70" s="224" t="s">
        <v>472</v>
      </c>
      <c r="D70" s="227" t="s">
        <v>404</v>
      </c>
      <c r="E70" s="224" t="s">
        <v>473</v>
      </c>
      <c r="F70" s="147" t="s">
        <v>474</v>
      </c>
      <c r="G70" s="136" t="s">
        <v>399</v>
      </c>
      <c r="H70" s="151">
        <v>4679.1000000000004</v>
      </c>
      <c r="I70" s="151">
        <v>24</v>
      </c>
      <c r="J70" s="142">
        <v>112298.4</v>
      </c>
      <c r="K70" s="219">
        <f>ROUND(J120*0.8,0)</f>
        <v>1592837</v>
      </c>
    </row>
    <row r="71" spans="1:11" s="154" customFormat="1" ht="24.95" customHeight="1">
      <c r="A71" s="221"/>
      <c r="B71" s="223"/>
      <c r="C71" s="225"/>
      <c r="D71" s="228"/>
      <c r="E71" s="225"/>
      <c r="F71" s="155" t="s">
        <v>475</v>
      </c>
      <c r="G71" s="136" t="s">
        <v>399</v>
      </c>
      <c r="H71" s="156">
        <v>1371.6</v>
      </c>
      <c r="I71" s="151">
        <v>26</v>
      </c>
      <c r="J71" s="142">
        <v>35661.599999999999</v>
      </c>
      <c r="K71" s="219"/>
    </row>
    <row r="72" spans="1:11" s="154" customFormat="1" ht="24.95" customHeight="1">
      <c r="A72" s="221"/>
      <c r="B72" s="223"/>
      <c r="C72" s="225"/>
      <c r="D72" s="228"/>
      <c r="E72" s="225"/>
      <c r="F72" s="155" t="s">
        <v>476</v>
      </c>
      <c r="G72" s="136" t="s">
        <v>399</v>
      </c>
      <c r="H72" s="156">
        <v>1289.8599999999999</v>
      </c>
      <c r="I72" s="151">
        <v>23</v>
      </c>
      <c r="J72" s="142">
        <v>29666.78</v>
      </c>
      <c r="K72" s="219"/>
    </row>
    <row r="73" spans="1:11" s="154" customFormat="1" ht="24.95" customHeight="1">
      <c r="A73" s="221"/>
      <c r="B73" s="223"/>
      <c r="C73" s="225"/>
      <c r="D73" s="228"/>
      <c r="E73" s="225"/>
      <c r="F73" s="155" t="s">
        <v>477</v>
      </c>
      <c r="G73" s="136" t="s">
        <v>399</v>
      </c>
      <c r="H73" s="156">
        <v>801.8</v>
      </c>
      <c r="I73" s="151">
        <v>50</v>
      </c>
      <c r="J73" s="142">
        <v>40090</v>
      </c>
      <c r="K73" s="219"/>
    </row>
    <row r="74" spans="1:11" s="154" customFormat="1" ht="24.95" customHeight="1">
      <c r="A74" s="221"/>
      <c r="B74" s="223"/>
      <c r="C74" s="225"/>
      <c r="D74" s="228"/>
      <c r="E74" s="226"/>
      <c r="F74" s="155" t="s">
        <v>478</v>
      </c>
      <c r="G74" s="136" t="s">
        <v>399</v>
      </c>
      <c r="H74" s="156">
        <v>1215.8399999999999</v>
      </c>
      <c r="I74" s="151">
        <v>50</v>
      </c>
      <c r="J74" s="142">
        <v>60792</v>
      </c>
      <c r="K74" s="219"/>
    </row>
    <row r="75" spans="1:11" s="154" customFormat="1" ht="24.95" customHeight="1">
      <c r="A75" s="221"/>
      <c r="B75" s="223"/>
      <c r="C75" s="225"/>
      <c r="D75" s="228"/>
      <c r="E75" s="224" t="s">
        <v>479</v>
      </c>
      <c r="F75" s="147" t="s">
        <v>480</v>
      </c>
      <c r="G75" s="136" t="s">
        <v>399</v>
      </c>
      <c r="H75" s="151">
        <v>1368.2</v>
      </c>
      <c r="I75" s="151">
        <v>60</v>
      </c>
      <c r="J75" s="142">
        <v>82092</v>
      </c>
      <c r="K75" s="219"/>
    </row>
    <row r="76" spans="1:11" s="154" customFormat="1" ht="24.95" customHeight="1">
      <c r="A76" s="221"/>
      <c r="B76" s="223"/>
      <c r="C76" s="225"/>
      <c r="D76" s="228"/>
      <c r="E76" s="226"/>
      <c r="F76" s="147" t="s">
        <v>481</v>
      </c>
      <c r="G76" s="136" t="s">
        <v>399</v>
      </c>
      <c r="H76" s="151">
        <v>1368.2</v>
      </c>
      <c r="I76" s="151">
        <v>23</v>
      </c>
      <c r="J76" s="142">
        <v>31468.6</v>
      </c>
      <c r="K76" s="219"/>
    </row>
    <row r="77" spans="1:11" s="154" customFormat="1" ht="24.95" customHeight="1">
      <c r="A77" s="221"/>
      <c r="B77" s="223"/>
      <c r="C77" s="225"/>
      <c r="D77" s="228"/>
      <c r="E77" s="224" t="s">
        <v>482</v>
      </c>
      <c r="F77" s="147" t="s">
        <v>483</v>
      </c>
      <c r="G77" s="136" t="s">
        <v>399</v>
      </c>
      <c r="H77" s="151">
        <v>1796.63</v>
      </c>
      <c r="I77" s="151">
        <v>54</v>
      </c>
      <c r="J77" s="142">
        <v>97018.02</v>
      </c>
      <c r="K77" s="219"/>
    </row>
    <row r="78" spans="1:11" s="154" customFormat="1" ht="24.95" customHeight="1">
      <c r="A78" s="221"/>
      <c r="B78" s="223"/>
      <c r="C78" s="225"/>
      <c r="D78" s="228"/>
      <c r="E78" s="225"/>
      <c r="F78" s="147" t="s">
        <v>484</v>
      </c>
      <c r="G78" s="147" t="s">
        <v>400</v>
      </c>
      <c r="H78" s="151">
        <v>227.1</v>
      </c>
      <c r="I78" s="151">
        <v>85</v>
      </c>
      <c r="J78" s="142">
        <v>19303.5</v>
      </c>
      <c r="K78" s="219"/>
    </row>
    <row r="79" spans="1:11" s="154" customFormat="1" ht="24.95" customHeight="1">
      <c r="A79" s="221"/>
      <c r="B79" s="223"/>
      <c r="C79" s="225"/>
      <c r="D79" s="228"/>
      <c r="E79" s="226"/>
      <c r="F79" s="147" t="s">
        <v>485</v>
      </c>
      <c r="G79" s="136" t="s">
        <v>399</v>
      </c>
      <c r="H79" s="151">
        <v>1796.63</v>
      </c>
      <c r="I79" s="151">
        <v>136</v>
      </c>
      <c r="J79" s="142">
        <v>244341.68</v>
      </c>
      <c r="K79" s="219"/>
    </row>
    <row r="80" spans="1:11" s="154" customFormat="1" ht="24.95" customHeight="1">
      <c r="A80" s="221"/>
      <c r="B80" s="223"/>
      <c r="C80" s="225"/>
      <c r="D80" s="228"/>
      <c r="E80" s="224" t="s">
        <v>486</v>
      </c>
      <c r="F80" s="147" t="s">
        <v>487</v>
      </c>
      <c r="G80" s="136" t="s">
        <v>399</v>
      </c>
      <c r="H80" s="151">
        <v>351.28</v>
      </c>
      <c r="I80" s="151">
        <v>54</v>
      </c>
      <c r="J80" s="142">
        <v>18969.12</v>
      </c>
      <c r="K80" s="219"/>
    </row>
    <row r="81" spans="1:11" s="154" customFormat="1" ht="24.95" customHeight="1">
      <c r="A81" s="221"/>
      <c r="B81" s="223"/>
      <c r="C81" s="225"/>
      <c r="D81" s="228"/>
      <c r="E81" s="225"/>
      <c r="F81" s="147" t="s">
        <v>488</v>
      </c>
      <c r="G81" s="136" t="s">
        <v>399</v>
      </c>
      <c r="H81" s="151">
        <v>61.63</v>
      </c>
      <c r="I81" s="151">
        <v>136</v>
      </c>
      <c r="J81" s="142">
        <v>8381.68</v>
      </c>
      <c r="K81" s="219"/>
    </row>
    <row r="82" spans="1:11" s="154" customFormat="1" ht="24.95" customHeight="1">
      <c r="A82" s="221"/>
      <c r="B82" s="223"/>
      <c r="C82" s="225"/>
      <c r="D82" s="228"/>
      <c r="E82" s="225"/>
      <c r="F82" s="147" t="s">
        <v>489</v>
      </c>
      <c r="G82" s="136" t="s">
        <v>399</v>
      </c>
      <c r="H82" s="151">
        <v>351.28</v>
      </c>
      <c r="I82" s="151">
        <v>136</v>
      </c>
      <c r="J82" s="142">
        <v>47774.080000000002</v>
      </c>
      <c r="K82" s="219"/>
    </row>
    <row r="83" spans="1:11" s="154" customFormat="1" ht="24.95" customHeight="1">
      <c r="A83" s="221"/>
      <c r="B83" s="223"/>
      <c r="C83" s="225"/>
      <c r="D83" s="228"/>
      <c r="E83" s="225"/>
      <c r="F83" s="147" t="s">
        <v>490</v>
      </c>
      <c r="G83" s="155" t="s">
        <v>491</v>
      </c>
      <c r="H83" s="151">
        <v>176</v>
      </c>
      <c r="I83" s="151">
        <v>136</v>
      </c>
      <c r="J83" s="142">
        <v>23936</v>
      </c>
      <c r="K83" s="219"/>
    </row>
    <row r="84" spans="1:11" s="154" customFormat="1" ht="24.95" customHeight="1">
      <c r="A84" s="221"/>
      <c r="B84" s="223"/>
      <c r="C84" s="225"/>
      <c r="D84" s="228"/>
      <c r="E84" s="225"/>
      <c r="F84" s="147" t="s">
        <v>492</v>
      </c>
      <c r="G84" s="136" t="s">
        <v>399</v>
      </c>
      <c r="H84" s="151">
        <v>97.82</v>
      </c>
      <c r="I84" s="151">
        <v>136</v>
      </c>
      <c r="J84" s="142">
        <v>13303.52</v>
      </c>
      <c r="K84" s="219"/>
    </row>
    <row r="85" spans="1:11" s="154" customFormat="1" ht="24.95" customHeight="1">
      <c r="A85" s="221"/>
      <c r="B85" s="223"/>
      <c r="C85" s="225"/>
      <c r="D85" s="228"/>
      <c r="E85" s="226"/>
      <c r="F85" s="147" t="s">
        <v>493</v>
      </c>
      <c r="G85" s="147" t="s">
        <v>400</v>
      </c>
      <c r="H85" s="151">
        <v>72</v>
      </c>
      <c r="I85" s="151">
        <v>450</v>
      </c>
      <c r="J85" s="142">
        <v>32400</v>
      </c>
      <c r="K85" s="219"/>
    </row>
    <row r="86" spans="1:11" s="154" customFormat="1" ht="24.95" customHeight="1">
      <c r="A86" s="221"/>
      <c r="B86" s="223"/>
      <c r="C86" s="225"/>
      <c r="D86" s="228"/>
      <c r="E86" s="143"/>
      <c r="F86" s="147" t="s">
        <v>494</v>
      </c>
      <c r="G86" s="147" t="s">
        <v>423</v>
      </c>
      <c r="H86" s="151">
        <v>77</v>
      </c>
      <c r="I86" s="151">
        <v>1600</v>
      </c>
      <c r="J86" s="142">
        <v>123200</v>
      </c>
      <c r="K86" s="219"/>
    </row>
    <row r="87" spans="1:11" s="154" customFormat="1" ht="24.95" customHeight="1">
      <c r="A87" s="221"/>
      <c r="B87" s="223"/>
      <c r="C87" s="225"/>
      <c r="D87" s="228"/>
      <c r="E87" s="224" t="s">
        <v>495</v>
      </c>
      <c r="F87" s="147" t="s">
        <v>496</v>
      </c>
      <c r="G87" s="147" t="s">
        <v>497</v>
      </c>
      <c r="H87" s="151">
        <v>15</v>
      </c>
      <c r="I87" s="151">
        <v>500</v>
      </c>
      <c r="J87" s="142">
        <v>7500</v>
      </c>
      <c r="K87" s="219"/>
    </row>
    <row r="88" spans="1:11" s="154" customFormat="1" ht="24.95" customHeight="1">
      <c r="A88" s="221"/>
      <c r="B88" s="223"/>
      <c r="C88" s="225"/>
      <c r="D88" s="228"/>
      <c r="E88" s="225"/>
      <c r="F88" s="147" t="s">
        <v>498</v>
      </c>
      <c r="G88" s="147" t="s">
        <v>400</v>
      </c>
      <c r="H88" s="151">
        <v>129</v>
      </c>
      <c r="I88" s="151">
        <v>186</v>
      </c>
      <c r="J88" s="142">
        <v>23994</v>
      </c>
      <c r="K88" s="219"/>
    </row>
    <row r="89" spans="1:11" s="154" customFormat="1" ht="24.95" customHeight="1">
      <c r="A89" s="221"/>
      <c r="B89" s="223"/>
      <c r="C89" s="225"/>
      <c r="D89" s="228"/>
      <c r="E89" s="226"/>
      <c r="F89" s="147" t="s">
        <v>499</v>
      </c>
      <c r="G89" s="136" t="s">
        <v>399</v>
      </c>
      <c r="H89" s="151">
        <v>129</v>
      </c>
      <c r="I89" s="151">
        <v>88</v>
      </c>
      <c r="J89" s="142">
        <v>11352</v>
      </c>
      <c r="K89" s="219"/>
    </row>
    <row r="90" spans="1:11" s="154" customFormat="1" ht="24.95" customHeight="1">
      <c r="A90" s="221"/>
      <c r="B90" s="223"/>
      <c r="C90" s="225"/>
      <c r="D90" s="228"/>
      <c r="E90" s="227" t="s">
        <v>500</v>
      </c>
      <c r="F90" s="147" t="s">
        <v>501</v>
      </c>
      <c r="G90" s="136" t="s">
        <v>399</v>
      </c>
      <c r="H90" s="151">
        <v>78.7</v>
      </c>
      <c r="I90" s="151">
        <v>54</v>
      </c>
      <c r="J90" s="142">
        <v>4249.8</v>
      </c>
      <c r="K90" s="219"/>
    </row>
    <row r="91" spans="1:11" s="154" customFormat="1" ht="24.95" customHeight="1">
      <c r="A91" s="221"/>
      <c r="B91" s="223"/>
      <c r="C91" s="225"/>
      <c r="D91" s="228"/>
      <c r="E91" s="228"/>
      <c r="F91" s="147" t="s">
        <v>502</v>
      </c>
      <c r="G91" s="136" t="s">
        <v>399</v>
      </c>
      <c r="H91" s="151">
        <v>9.36</v>
      </c>
      <c r="I91" s="151">
        <v>54</v>
      </c>
      <c r="J91" s="142">
        <v>505.44</v>
      </c>
      <c r="K91" s="219"/>
    </row>
    <row r="92" spans="1:11" s="154" customFormat="1" ht="24.95" customHeight="1">
      <c r="A92" s="221"/>
      <c r="B92" s="223"/>
      <c r="C92" s="225"/>
      <c r="D92" s="228"/>
      <c r="E92" s="228"/>
      <c r="F92" s="147" t="s">
        <v>503</v>
      </c>
      <c r="G92" s="136" t="s">
        <v>399</v>
      </c>
      <c r="H92" s="151">
        <v>78.7</v>
      </c>
      <c r="I92" s="151">
        <v>140</v>
      </c>
      <c r="J92" s="142">
        <v>11018</v>
      </c>
      <c r="K92" s="219"/>
    </row>
    <row r="93" spans="1:11" s="154" customFormat="1" ht="24.95" customHeight="1">
      <c r="A93" s="221"/>
      <c r="B93" s="223"/>
      <c r="C93" s="225"/>
      <c r="D93" s="228"/>
      <c r="E93" s="228"/>
      <c r="F93" s="147" t="s">
        <v>504</v>
      </c>
      <c r="G93" s="147" t="s">
        <v>400</v>
      </c>
      <c r="H93" s="151">
        <v>39.75</v>
      </c>
      <c r="I93" s="151">
        <v>100</v>
      </c>
      <c r="J93" s="142">
        <v>3975</v>
      </c>
      <c r="K93" s="219"/>
    </row>
    <row r="94" spans="1:11" s="154" customFormat="1" ht="24.95" customHeight="1">
      <c r="A94" s="221"/>
      <c r="B94" s="223"/>
      <c r="C94" s="225"/>
      <c r="D94" s="228"/>
      <c r="E94" s="228"/>
      <c r="F94" s="147" t="s">
        <v>505</v>
      </c>
      <c r="G94" s="136" t="s">
        <v>399</v>
      </c>
      <c r="H94" s="151">
        <v>9.36</v>
      </c>
      <c r="I94" s="151">
        <v>140</v>
      </c>
      <c r="J94" s="142">
        <v>1310.4000000000001</v>
      </c>
      <c r="K94" s="219"/>
    </row>
    <row r="95" spans="1:11" s="154" customFormat="1" ht="24.95" customHeight="1">
      <c r="A95" s="221"/>
      <c r="B95" s="223"/>
      <c r="C95" s="225"/>
      <c r="D95" s="228"/>
      <c r="E95" s="228"/>
      <c r="F95" s="147" t="s">
        <v>506</v>
      </c>
      <c r="G95" s="147" t="s">
        <v>400</v>
      </c>
      <c r="H95" s="151">
        <v>100</v>
      </c>
      <c r="I95" s="151">
        <v>100</v>
      </c>
      <c r="J95" s="142">
        <v>10000</v>
      </c>
      <c r="K95" s="219"/>
    </row>
    <row r="96" spans="1:11" s="154" customFormat="1" ht="24.95" customHeight="1">
      <c r="A96" s="221"/>
      <c r="B96" s="223"/>
      <c r="C96" s="225"/>
      <c r="D96" s="228"/>
      <c r="E96" s="228"/>
      <c r="F96" s="147" t="s">
        <v>507</v>
      </c>
      <c r="G96" s="136" t="s">
        <v>399</v>
      </c>
      <c r="H96" s="156">
        <v>660</v>
      </c>
      <c r="I96" s="151">
        <v>63</v>
      </c>
      <c r="J96" s="142">
        <v>41580</v>
      </c>
      <c r="K96" s="219"/>
    </row>
    <row r="97" spans="1:11" s="154" customFormat="1" ht="24.95" customHeight="1">
      <c r="A97" s="221"/>
      <c r="B97" s="223"/>
      <c r="C97" s="225"/>
      <c r="D97" s="228"/>
      <c r="E97" s="228"/>
      <c r="F97" s="147" t="s">
        <v>508</v>
      </c>
      <c r="G97" s="147" t="s">
        <v>400</v>
      </c>
      <c r="H97" s="151">
        <v>100</v>
      </c>
      <c r="I97" s="151">
        <v>65</v>
      </c>
      <c r="J97" s="142">
        <v>6500</v>
      </c>
      <c r="K97" s="219"/>
    </row>
    <row r="98" spans="1:11" s="154" customFormat="1" ht="24.95" customHeight="1">
      <c r="A98" s="221"/>
      <c r="B98" s="223"/>
      <c r="C98" s="225"/>
      <c r="D98" s="228"/>
      <c r="E98" s="228"/>
      <c r="F98" s="147" t="s">
        <v>509</v>
      </c>
      <c r="G98" s="147" t="s">
        <v>400</v>
      </c>
      <c r="H98" s="151">
        <v>100</v>
      </c>
      <c r="I98" s="151">
        <v>120</v>
      </c>
      <c r="J98" s="142">
        <v>12000</v>
      </c>
      <c r="K98" s="219"/>
    </row>
    <row r="99" spans="1:11" s="154" customFormat="1" ht="24.95" customHeight="1">
      <c r="A99" s="221"/>
      <c r="B99" s="223"/>
      <c r="C99" s="225"/>
      <c r="D99" s="228"/>
      <c r="E99" s="228"/>
      <c r="F99" s="147" t="s">
        <v>510</v>
      </c>
      <c r="G99" s="147" t="s">
        <v>400</v>
      </c>
      <c r="H99" s="151">
        <v>100</v>
      </c>
      <c r="I99" s="151">
        <v>160</v>
      </c>
      <c r="J99" s="142">
        <v>16000</v>
      </c>
      <c r="K99" s="219"/>
    </row>
    <row r="100" spans="1:11" s="154" customFormat="1" ht="24.95" customHeight="1">
      <c r="A100" s="221"/>
      <c r="B100" s="223"/>
      <c r="C100" s="225"/>
      <c r="D100" s="228"/>
      <c r="E100" s="228"/>
      <c r="F100" s="147" t="s">
        <v>511</v>
      </c>
      <c r="G100" s="147" t="s">
        <v>400</v>
      </c>
      <c r="H100" s="151">
        <v>100</v>
      </c>
      <c r="I100" s="151">
        <v>1450</v>
      </c>
      <c r="J100" s="142">
        <v>145000</v>
      </c>
      <c r="K100" s="219"/>
    </row>
    <row r="101" spans="1:11" s="154" customFormat="1" ht="24.95" customHeight="1">
      <c r="A101" s="221"/>
      <c r="B101" s="223"/>
      <c r="C101" s="225"/>
      <c r="D101" s="228"/>
      <c r="E101" s="228"/>
      <c r="F101" s="147" t="s">
        <v>512</v>
      </c>
      <c r="G101" s="147" t="s">
        <v>400</v>
      </c>
      <c r="H101" s="151">
        <v>235.5</v>
      </c>
      <c r="I101" s="151">
        <v>100</v>
      </c>
      <c r="J101" s="142">
        <v>23550</v>
      </c>
      <c r="K101" s="219"/>
    </row>
    <row r="102" spans="1:11" s="157" customFormat="1" ht="24.95" customHeight="1">
      <c r="A102" s="221"/>
      <c r="B102" s="223"/>
      <c r="C102" s="225"/>
      <c r="D102" s="228"/>
      <c r="E102" s="223" t="s">
        <v>513</v>
      </c>
      <c r="F102" s="147" t="s">
        <v>514</v>
      </c>
      <c r="G102" s="136" t="s">
        <v>399</v>
      </c>
      <c r="H102" s="151">
        <v>273</v>
      </c>
      <c r="I102" s="151">
        <v>36</v>
      </c>
      <c r="J102" s="142">
        <v>9828</v>
      </c>
      <c r="K102" s="219"/>
    </row>
    <row r="103" spans="1:11" s="157" customFormat="1" ht="24.95" customHeight="1">
      <c r="A103" s="221"/>
      <c r="B103" s="223"/>
      <c r="C103" s="225"/>
      <c r="D103" s="228"/>
      <c r="E103" s="223"/>
      <c r="F103" s="147" t="s">
        <v>515</v>
      </c>
      <c r="G103" s="147" t="s">
        <v>400</v>
      </c>
      <c r="H103" s="151">
        <v>95</v>
      </c>
      <c r="I103" s="151">
        <v>30</v>
      </c>
      <c r="J103" s="142">
        <v>2850</v>
      </c>
      <c r="K103" s="219"/>
    </row>
    <row r="104" spans="1:11" s="157" customFormat="1" ht="24.95" customHeight="1">
      <c r="A104" s="221"/>
      <c r="B104" s="223"/>
      <c r="C104" s="225"/>
      <c r="D104" s="228"/>
      <c r="E104" s="223"/>
      <c r="F104" s="158" t="s">
        <v>516</v>
      </c>
      <c r="G104" s="136" t="s">
        <v>399</v>
      </c>
      <c r="H104" s="159">
        <v>1062.99</v>
      </c>
      <c r="I104" s="159">
        <v>20</v>
      </c>
      <c r="J104" s="142">
        <v>21259.8</v>
      </c>
      <c r="K104" s="219"/>
    </row>
    <row r="105" spans="1:11" s="160" customFormat="1" ht="24.95" customHeight="1">
      <c r="A105" s="221"/>
      <c r="B105" s="223"/>
      <c r="C105" s="225"/>
      <c r="D105" s="228"/>
      <c r="E105" s="223"/>
      <c r="F105" s="147" t="s">
        <v>517</v>
      </c>
      <c r="G105" s="147" t="s">
        <v>400</v>
      </c>
      <c r="H105" s="151">
        <v>28</v>
      </c>
      <c r="I105" s="151">
        <v>230</v>
      </c>
      <c r="J105" s="142">
        <v>6440</v>
      </c>
      <c r="K105" s="219"/>
    </row>
    <row r="106" spans="1:11" s="160" customFormat="1" ht="24.95" customHeight="1">
      <c r="A106" s="221"/>
      <c r="B106" s="223"/>
      <c r="C106" s="225"/>
      <c r="D106" s="228"/>
      <c r="E106" s="223"/>
      <c r="F106" s="147" t="s">
        <v>518</v>
      </c>
      <c r="G106" s="136" t="s">
        <v>399</v>
      </c>
      <c r="H106" s="151">
        <v>24.1</v>
      </c>
      <c r="I106" s="151">
        <v>100</v>
      </c>
      <c r="J106" s="142">
        <v>2410</v>
      </c>
      <c r="K106" s="219"/>
    </row>
    <row r="107" spans="1:11" s="160" customFormat="1" ht="24.95" customHeight="1">
      <c r="A107" s="221"/>
      <c r="B107" s="223"/>
      <c r="C107" s="225"/>
      <c r="D107" s="228"/>
      <c r="E107" s="223"/>
      <c r="F107" s="158" t="s">
        <v>519</v>
      </c>
      <c r="G107" s="136" t="s">
        <v>399</v>
      </c>
      <c r="H107" s="159">
        <v>271.60000000000002</v>
      </c>
      <c r="I107" s="151">
        <v>200</v>
      </c>
      <c r="J107" s="142">
        <v>54320</v>
      </c>
      <c r="K107" s="219"/>
    </row>
    <row r="108" spans="1:11" s="160" customFormat="1" ht="24.95" customHeight="1">
      <c r="A108" s="221"/>
      <c r="B108" s="223"/>
      <c r="C108" s="225"/>
      <c r="D108" s="228"/>
      <c r="E108" s="223"/>
      <c r="F108" s="158" t="s">
        <v>520</v>
      </c>
      <c r="G108" s="136" t="s">
        <v>399</v>
      </c>
      <c r="H108" s="159">
        <v>1062.99</v>
      </c>
      <c r="I108" s="151">
        <v>90</v>
      </c>
      <c r="J108" s="142">
        <v>95669.1</v>
      </c>
      <c r="K108" s="219"/>
    </row>
    <row r="109" spans="1:11" s="157" customFormat="1" ht="24.95" customHeight="1">
      <c r="A109" s="221"/>
      <c r="B109" s="223"/>
      <c r="C109" s="225"/>
      <c r="D109" s="228"/>
      <c r="E109" s="223"/>
      <c r="F109" s="147" t="s">
        <v>521</v>
      </c>
      <c r="G109" s="136" t="s">
        <v>399</v>
      </c>
      <c r="H109" s="151">
        <v>200</v>
      </c>
      <c r="I109" s="151">
        <v>168</v>
      </c>
      <c r="J109" s="142">
        <v>33600</v>
      </c>
      <c r="K109" s="219"/>
    </row>
    <row r="110" spans="1:11" s="157" customFormat="1" ht="24.95" customHeight="1">
      <c r="A110" s="221"/>
      <c r="B110" s="223"/>
      <c r="C110" s="225"/>
      <c r="D110" s="228"/>
      <c r="E110" s="223"/>
      <c r="F110" s="147" t="s">
        <v>522</v>
      </c>
      <c r="G110" s="136" t="s">
        <v>399</v>
      </c>
      <c r="H110" s="151">
        <v>251.4</v>
      </c>
      <c r="I110" s="151">
        <v>400</v>
      </c>
      <c r="J110" s="142">
        <v>100560</v>
      </c>
      <c r="K110" s="219"/>
    </row>
    <row r="111" spans="1:11" s="157" customFormat="1" ht="24.95" customHeight="1">
      <c r="A111" s="221"/>
      <c r="B111" s="223"/>
      <c r="C111" s="225"/>
      <c r="D111" s="228"/>
      <c r="E111" s="223"/>
      <c r="F111" s="147" t="s">
        <v>523</v>
      </c>
      <c r="G111" s="147" t="s">
        <v>400</v>
      </c>
      <c r="H111" s="151">
        <v>66.599999999999994</v>
      </c>
      <c r="I111" s="151">
        <v>200</v>
      </c>
      <c r="J111" s="142">
        <v>13320</v>
      </c>
      <c r="K111" s="219"/>
    </row>
    <row r="112" spans="1:11" s="157" customFormat="1" ht="24.95" customHeight="1">
      <c r="A112" s="221"/>
      <c r="B112" s="223"/>
      <c r="C112" s="225"/>
      <c r="D112" s="228"/>
      <c r="E112" s="223" t="s">
        <v>524</v>
      </c>
      <c r="F112" s="147" t="s">
        <v>525</v>
      </c>
      <c r="G112" s="155" t="s">
        <v>497</v>
      </c>
      <c r="H112" s="151">
        <v>87</v>
      </c>
      <c r="I112" s="151">
        <v>200</v>
      </c>
      <c r="J112" s="142">
        <v>17400</v>
      </c>
      <c r="K112" s="219"/>
    </row>
    <row r="113" spans="1:11" s="157" customFormat="1" ht="24.95" customHeight="1">
      <c r="A113" s="221"/>
      <c r="B113" s="223"/>
      <c r="C113" s="225"/>
      <c r="D113" s="228"/>
      <c r="E113" s="223"/>
      <c r="F113" s="147" t="s">
        <v>526</v>
      </c>
      <c r="G113" s="147" t="s">
        <v>415</v>
      </c>
      <c r="H113" s="151">
        <v>1</v>
      </c>
      <c r="I113" s="151">
        <v>10000</v>
      </c>
      <c r="J113" s="142">
        <v>10000</v>
      </c>
      <c r="K113" s="219"/>
    </row>
    <row r="114" spans="1:11" s="157" customFormat="1" ht="24.95" customHeight="1">
      <c r="A114" s="221"/>
      <c r="B114" s="223"/>
      <c r="C114" s="225"/>
      <c r="D114" s="228"/>
      <c r="E114" s="135"/>
      <c r="F114" s="147" t="s">
        <v>527</v>
      </c>
      <c r="G114" s="147" t="s">
        <v>528</v>
      </c>
      <c r="H114" s="151">
        <v>4</v>
      </c>
      <c r="I114" s="151">
        <v>1000</v>
      </c>
      <c r="J114" s="142">
        <v>4000</v>
      </c>
      <c r="K114" s="219"/>
    </row>
    <row r="115" spans="1:11" ht="24.95" customHeight="1">
      <c r="A115" s="221"/>
      <c r="B115" s="223"/>
      <c r="C115" s="225"/>
      <c r="D115" s="228"/>
      <c r="E115" s="131" t="s">
        <v>401</v>
      </c>
      <c r="F115" s="131"/>
      <c r="G115" s="131"/>
      <c r="H115" s="133"/>
      <c r="I115" s="133"/>
      <c r="J115" s="139">
        <v>1710888.52</v>
      </c>
      <c r="K115" s="219"/>
    </row>
    <row r="116" spans="1:11" ht="24.95" customHeight="1">
      <c r="A116" s="221"/>
      <c r="B116" s="223"/>
      <c r="C116" s="225"/>
      <c r="D116" s="228"/>
      <c r="E116" s="131" t="s">
        <v>425</v>
      </c>
      <c r="F116" s="131"/>
      <c r="G116" s="131"/>
      <c r="H116" s="133"/>
      <c r="I116" s="133"/>
      <c r="J116" s="139">
        <v>171088.85200000001</v>
      </c>
      <c r="K116" s="219"/>
    </row>
    <row r="117" spans="1:11" ht="24.95" customHeight="1">
      <c r="A117" s="221"/>
      <c r="B117" s="223"/>
      <c r="C117" s="225"/>
      <c r="D117" s="228"/>
      <c r="E117" s="147" t="s">
        <v>405</v>
      </c>
      <c r="F117" s="131"/>
      <c r="G117" s="147" t="s">
        <v>406</v>
      </c>
      <c r="H117" s="151">
        <v>24</v>
      </c>
      <c r="I117" s="151">
        <v>1200</v>
      </c>
      <c r="J117" s="142">
        <v>28800</v>
      </c>
      <c r="K117" s="219"/>
    </row>
    <row r="118" spans="1:11" ht="24.95" customHeight="1">
      <c r="A118" s="221"/>
      <c r="B118" s="223"/>
      <c r="C118" s="225"/>
      <c r="D118" s="228"/>
      <c r="E118" s="147" t="s">
        <v>462</v>
      </c>
      <c r="F118" s="131"/>
      <c r="G118" s="136" t="s">
        <v>399</v>
      </c>
      <c r="H118" s="151">
        <v>4631.83</v>
      </c>
      <c r="I118" s="151">
        <v>16</v>
      </c>
      <c r="J118" s="142">
        <v>74109.279999999999</v>
      </c>
      <c r="K118" s="219"/>
    </row>
    <row r="119" spans="1:11" ht="24.95" customHeight="1">
      <c r="A119" s="221"/>
      <c r="B119" s="223"/>
      <c r="C119" s="225"/>
      <c r="D119" s="228"/>
      <c r="E119" s="147" t="s">
        <v>461</v>
      </c>
      <c r="F119" s="131"/>
      <c r="G119" s="147" t="s">
        <v>415</v>
      </c>
      <c r="H119" s="151">
        <v>1</v>
      </c>
      <c r="I119" s="151">
        <v>6159</v>
      </c>
      <c r="J119" s="142">
        <v>6159</v>
      </c>
      <c r="K119" s="219"/>
    </row>
    <row r="120" spans="1:11" ht="24.95" customHeight="1">
      <c r="A120" s="221"/>
      <c r="B120" s="223"/>
      <c r="C120" s="225"/>
      <c r="D120" s="228"/>
      <c r="E120" s="131" t="s">
        <v>402</v>
      </c>
      <c r="F120" s="131"/>
      <c r="G120" s="147"/>
      <c r="H120" s="151"/>
      <c r="I120" s="151"/>
      <c r="J120" s="139">
        <v>1991045.652</v>
      </c>
      <c r="K120" s="219"/>
    </row>
    <row r="121" spans="1:11" ht="24.95" customHeight="1">
      <c r="A121" s="222"/>
      <c r="B121" s="223"/>
      <c r="C121" s="226"/>
      <c r="D121" s="229"/>
      <c r="E121" s="130" t="s">
        <v>7</v>
      </c>
      <c r="F121" s="144"/>
      <c r="G121" s="130"/>
      <c r="H121" s="132"/>
      <c r="I121" s="132"/>
      <c r="J121" s="161">
        <v>6365092.0920000002</v>
      </c>
      <c r="K121" s="163">
        <f>SUM(K3:K120)</f>
        <v>5092073</v>
      </c>
    </row>
    <row r="130" spans="8:11" s="128" customFormat="1">
      <c r="H130" s="145"/>
      <c r="I130" s="145"/>
      <c r="J130" s="146"/>
      <c r="K130" s="162"/>
    </row>
    <row r="131" spans="8:11" s="128" customFormat="1">
      <c r="H131" s="145"/>
      <c r="I131" s="145"/>
      <c r="J131" s="146"/>
      <c r="K131" s="162"/>
    </row>
    <row r="132" spans="8:11" s="128" customFormat="1">
      <c r="H132" s="145"/>
      <c r="I132" s="145"/>
      <c r="J132" s="146"/>
      <c r="K132" s="162"/>
    </row>
    <row r="133" spans="8:11" s="128" customFormat="1">
      <c r="H133" s="145"/>
      <c r="I133" s="145"/>
      <c r="J133" s="146"/>
      <c r="K133" s="162"/>
    </row>
    <row r="134" spans="8:11" s="128" customFormat="1">
      <c r="H134" s="145"/>
      <c r="I134" s="145"/>
      <c r="J134" s="146"/>
      <c r="K134" s="162"/>
    </row>
    <row r="135" spans="8:11" s="128" customFormat="1">
      <c r="H135" s="145"/>
      <c r="I135" s="145"/>
      <c r="J135" s="146"/>
      <c r="K135" s="162"/>
    </row>
    <row r="136" spans="8:11" s="128" customFormat="1">
      <c r="H136" s="145"/>
      <c r="I136" s="145"/>
      <c r="J136" s="146"/>
      <c r="K136" s="162"/>
    </row>
  </sheetData>
  <mergeCells count="50">
    <mergeCell ref="A1:K1"/>
    <mergeCell ref="A3:A17"/>
    <mergeCell ref="B3:B17"/>
    <mergeCell ref="C3:C17"/>
    <mergeCell ref="D3:D17"/>
    <mergeCell ref="E3:E14"/>
    <mergeCell ref="K3:K17"/>
    <mergeCell ref="A18:A28"/>
    <mergeCell ref="B18:B28"/>
    <mergeCell ref="C18:C28"/>
    <mergeCell ref="D18:D28"/>
    <mergeCell ref="E18:E19"/>
    <mergeCell ref="E20:E23"/>
    <mergeCell ref="A35:A54"/>
    <mergeCell ref="B35:B54"/>
    <mergeCell ref="C35:C54"/>
    <mergeCell ref="D35:D54"/>
    <mergeCell ref="E35:E36"/>
    <mergeCell ref="E39:E44"/>
    <mergeCell ref="E45:E47"/>
    <mergeCell ref="E48:E49"/>
    <mergeCell ref="A29:A34"/>
    <mergeCell ref="B29:B34"/>
    <mergeCell ref="C29:C34"/>
    <mergeCell ref="D29:D34"/>
    <mergeCell ref="E29:E30"/>
    <mergeCell ref="A55:A69"/>
    <mergeCell ref="B55:B69"/>
    <mergeCell ref="C55:C69"/>
    <mergeCell ref="D55:D69"/>
    <mergeCell ref="E55:E61"/>
    <mergeCell ref="E62:E66"/>
    <mergeCell ref="A70:A121"/>
    <mergeCell ref="B70:B121"/>
    <mergeCell ref="C70:C121"/>
    <mergeCell ref="D70:D121"/>
    <mergeCell ref="E70:E74"/>
    <mergeCell ref="E75:E76"/>
    <mergeCell ref="E77:E79"/>
    <mergeCell ref="E80:E85"/>
    <mergeCell ref="E87:E89"/>
    <mergeCell ref="E90:E94"/>
    <mergeCell ref="E95:E101"/>
    <mergeCell ref="E102:E111"/>
    <mergeCell ref="E112:E113"/>
    <mergeCell ref="K18:K28"/>
    <mergeCell ref="K29:K34"/>
    <mergeCell ref="K35:K54"/>
    <mergeCell ref="K55:K69"/>
    <mergeCell ref="K70:K120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verticalDpi="0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16" sqref="A16:XFD72"/>
    </sheetView>
  </sheetViews>
  <sheetFormatPr defaultColWidth="9" defaultRowHeight="39.950000000000003" customHeight="1"/>
  <cols>
    <col min="1" max="1" width="8.625" style="120" customWidth="1"/>
    <col min="2" max="2" width="35" style="120" customWidth="1"/>
    <col min="3" max="3" width="41" style="120" customWidth="1"/>
    <col min="4" max="4" width="13.125" style="123" customWidth="1"/>
    <col min="5" max="5" width="12.625" style="120" customWidth="1"/>
    <col min="6" max="6" width="13.375" style="120" customWidth="1"/>
    <col min="7" max="7" width="12.625" style="120" customWidth="1"/>
    <col min="8" max="8" width="11.875" style="120" customWidth="1"/>
    <col min="9" max="9" width="13.625" style="120" customWidth="1"/>
    <col min="10" max="10" width="11.875" style="123" customWidth="1"/>
    <col min="11" max="11" width="14" style="124" customWidth="1"/>
    <col min="12" max="12" width="9" style="120"/>
    <col min="13" max="13" width="13.5" style="120" customWidth="1"/>
    <col min="14" max="14" width="14.375" style="120" customWidth="1"/>
    <col min="15" max="15" width="13.5" style="120" customWidth="1"/>
    <col min="16" max="16" width="15.25" style="120" customWidth="1"/>
    <col min="17" max="17" width="13.875" style="120" customWidth="1"/>
    <col min="18" max="16384" width="9" style="120"/>
  </cols>
  <sheetData>
    <row r="1" spans="1:13" s="119" customFormat="1" ht="25.5">
      <c r="A1" s="233" t="s">
        <v>371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3" ht="22.5">
      <c r="A2" s="168" t="s">
        <v>540</v>
      </c>
      <c r="B2" s="168" t="s">
        <v>246</v>
      </c>
      <c r="C2" s="168" t="s">
        <v>4</v>
      </c>
      <c r="D2" s="169" t="s">
        <v>541</v>
      </c>
      <c r="E2" s="169" t="s">
        <v>542</v>
      </c>
      <c r="F2" s="169" t="s">
        <v>543</v>
      </c>
      <c r="G2" s="169" t="s">
        <v>544</v>
      </c>
      <c r="H2" s="169" t="s">
        <v>545</v>
      </c>
      <c r="I2" s="169" t="s">
        <v>546</v>
      </c>
      <c r="J2" s="169" t="s">
        <v>547</v>
      </c>
      <c r="K2" s="169" t="s">
        <v>548</v>
      </c>
    </row>
    <row r="3" spans="1:13" s="122" customFormat="1" ht="18.75">
      <c r="A3" s="168" t="s">
        <v>549</v>
      </c>
      <c r="B3" s="172" t="s">
        <v>550</v>
      </c>
      <c r="C3" s="168" t="s">
        <v>372</v>
      </c>
      <c r="D3" s="173">
        <v>1209285</v>
      </c>
      <c r="E3" s="173">
        <v>1047000</v>
      </c>
      <c r="F3" s="173">
        <v>1038100</v>
      </c>
      <c r="G3" s="173">
        <v>1031492</v>
      </c>
      <c r="H3" s="173">
        <v>93506.3</v>
      </c>
      <c r="I3" s="170">
        <f t="shared" ref="I3:I15" si="0">G3+H3</f>
        <v>1124998.3</v>
      </c>
      <c r="J3" s="173">
        <v>967428</v>
      </c>
      <c r="K3" s="170">
        <f t="shared" ref="K3:K15" si="1">I3-J3</f>
        <v>157570.30000000005</v>
      </c>
      <c r="L3" s="121"/>
      <c r="M3" s="121"/>
    </row>
    <row r="4" spans="1:13" s="122" customFormat="1" ht="18.75">
      <c r="A4" s="168" t="s">
        <v>549</v>
      </c>
      <c r="B4" s="172" t="s">
        <v>373</v>
      </c>
      <c r="C4" s="168" t="s">
        <v>374</v>
      </c>
      <c r="D4" s="173">
        <v>313686.45</v>
      </c>
      <c r="E4" s="173">
        <v>271590</v>
      </c>
      <c r="F4" s="173">
        <v>246841</v>
      </c>
      <c r="G4" s="173">
        <v>240782.24</v>
      </c>
      <c r="H4" s="173">
        <v>24742</v>
      </c>
      <c r="I4" s="170">
        <f t="shared" si="0"/>
        <v>265524.24</v>
      </c>
      <c r="J4" s="173">
        <v>250949</v>
      </c>
      <c r="K4" s="170">
        <f t="shared" si="1"/>
        <v>14575.239999999991</v>
      </c>
      <c r="L4" s="121"/>
      <c r="M4" s="121"/>
    </row>
    <row r="5" spans="1:13" s="122" customFormat="1" ht="18.75">
      <c r="A5" s="168" t="s">
        <v>549</v>
      </c>
      <c r="B5" s="172" t="s">
        <v>201</v>
      </c>
      <c r="C5" s="168" t="s">
        <v>375</v>
      </c>
      <c r="D5" s="173">
        <v>1695303.75</v>
      </c>
      <c r="E5" s="173">
        <v>1413250</v>
      </c>
      <c r="F5" s="173">
        <v>1400862</v>
      </c>
      <c r="G5" s="173">
        <v>1385832</v>
      </c>
      <c r="H5" s="173">
        <v>173212.59</v>
      </c>
      <c r="I5" s="170">
        <f t="shared" si="0"/>
        <v>1559044.59</v>
      </c>
      <c r="J5" s="173">
        <v>1583128.59</v>
      </c>
      <c r="K5" s="170">
        <f t="shared" si="1"/>
        <v>-24084</v>
      </c>
      <c r="L5" s="121"/>
      <c r="M5" s="121"/>
    </row>
    <row r="6" spans="1:13" s="122" customFormat="1" ht="18.75">
      <c r="A6" s="168" t="s">
        <v>549</v>
      </c>
      <c r="B6" s="172" t="s">
        <v>551</v>
      </c>
      <c r="C6" s="168" t="s">
        <v>376</v>
      </c>
      <c r="D6" s="173">
        <v>284287.5</v>
      </c>
      <c r="E6" s="173">
        <v>238500</v>
      </c>
      <c r="F6" s="173">
        <v>214619</v>
      </c>
      <c r="G6" s="173">
        <v>207729</v>
      </c>
      <c r="H6" s="173">
        <v>22030</v>
      </c>
      <c r="I6" s="170">
        <f t="shared" si="0"/>
        <v>229759</v>
      </c>
      <c r="J6" s="173">
        <v>227430</v>
      </c>
      <c r="K6" s="170">
        <f t="shared" si="1"/>
        <v>2329</v>
      </c>
      <c r="L6" s="121"/>
      <c r="M6" s="121"/>
    </row>
    <row r="7" spans="1:13" s="122" customFormat="1" ht="18.75">
      <c r="A7" s="168" t="s">
        <v>549</v>
      </c>
      <c r="B7" s="172" t="s">
        <v>209</v>
      </c>
      <c r="C7" s="168" t="s">
        <v>377</v>
      </c>
      <c r="D7" s="173">
        <v>529945.5</v>
      </c>
      <c r="E7" s="173">
        <v>436100</v>
      </c>
      <c r="F7" s="173">
        <v>396535</v>
      </c>
      <c r="G7" s="173">
        <v>379039</v>
      </c>
      <c r="H7" s="173">
        <v>52987</v>
      </c>
      <c r="I7" s="170">
        <f t="shared" si="0"/>
        <v>432026</v>
      </c>
      <c r="J7" s="173">
        <v>423956</v>
      </c>
      <c r="K7" s="170">
        <f t="shared" si="1"/>
        <v>8070</v>
      </c>
      <c r="L7" s="121"/>
      <c r="M7" s="121"/>
    </row>
    <row r="8" spans="1:13" s="122" customFormat="1" ht="18.75">
      <c r="A8" s="168" t="s">
        <v>549</v>
      </c>
      <c r="B8" s="172" t="s">
        <v>208</v>
      </c>
      <c r="C8" s="168" t="s">
        <v>378</v>
      </c>
      <c r="D8" s="173">
        <v>1518216</v>
      </c>
      <c r="E8" s="173">
        <v>1237200</v>
      </c>
      <c r="F8" s="173">
        <v>1228110</v>
      </c>
      <c r="G8" s="173">
        <v>1186205</v>
      </c>
      <c r="H8" s="173">
        <v>180568.33</v>
      </c>
      <c r="I8" s="170">
        <f t="shared" si="0"/>
        <v>1366773.33</v>
      </c>
      <c r="J8" s="173">
        <v>1214573</v>
      </c>
      <c r="K8" s="170">
        <f t="shared" si="1"/>
        <v>152200.33000000007</v>
      </c>
      <c r="L8" s="121"/>
      <c r="M8" s="121"/>
    </row>
    <row r="9" spans="1:13" s="122" customFormat="1" ht="18.75">
      <c r="A9" s="168" t="s">
        <v>549</v>
      </c>
      <c r="B9" s="172" t="s">
        <v>552</v>
      </c>
      <c r="C9" s="168" t="s">
        <v>379</v>
      </c>
      <c r="D9" s="173">
        <v>910389.89</v>
      </c>
      <c r="E9" s="173">
        <v>645808.99</v>
      </c>
      <c r="F9" s="173">
        <v>590140</v>
      </c>
      <c r="G9" s="173">
        <v>587241</v>
      </c>
      <c r="H9" s="173">
        <v>54151</v>
      </c>
      <c r="I9" s="170">
        <f t="shared" si="0"/>
        <v>641392</v>
      </c>
      <c r="J9" s="173">
        <v>650747</v>
      </c>
      <c r="K9" s="170">
        <f t="shared" si="1"/>
        <v>-9355</v>
      </c>
      <c r="L9" s="121"/>
      <c r="M9" s="121"/>
    </row>
    <row r="10" spans="1:13" s="122" customFormat="1" ht="18.75">
      <c r="A10" s="168" t="s">
        <v>549</v>
      </c>
      <c r="B10" s="172" t="s">
        <v>553</v>
      </c>
      <c r="C10" s="168" t="s">
        <v>380</v>
      </c>
      <c r="D10" s="173">
        <v>516286.13</v>
      </c>
      <c r="E10" s="173">
        <v>469351.03</v>
      </c>
      <c r="F10" s="173">
        <v>424299</v>
      </c>
      <c r="G10" s="173">
        <v>405971.73</v>
      </c>
      <c r="H10" s="173">
        <v>39930</v>
      </c>
      <c r="I10" s="170">
        <f t="shared" si="0"/>
        <v>445901.73</v>
      </c>
      <c r="J10" s="173">
        <v>413029</v>
      </c>
      <c r="K10" s="170">
        <f t="shared" si="1"/>
        <v>32872.729999999981</v>
      </c>
      <c r="L10" s="121"/>
      <c r="M10" s="121"/>
    </row>
    <row r="11" spans="1:13" s="122" customFormat="1" ht="18.75">
      <c r="A11" s="168" t="s">
        <v>549</v>
      </c>
      <c r="B11" s="172" t="s">
        <v>554</v>
      </c>
      <c r="C11" s="168" t="s">
        <v>381</v>
      </c>
      <c r="D11" s="173">
        <v>680917.67</v>
      </c>
      <c r="E11" s="173">
        <v>591743.34</v>
      </c>
      <c r="F11" s="173">
        <v>537719</v>
      </c>
      <c r="G11" s="173">
        <v>534712</v>
      </c>
      <c r="H11" s="173">
        <v>76800</v>
      </c>
      <c r="I11" s="170">
        <f t="shared" si="0"/>
        <v>611512</v>
      </c>
      <c r="J11" s="173">
        <v>544734</v>
      </c>
      <c r="K11" s="170">
        <f t="shared" si="1"/>
        <v>66778</v>
      </c>
      <c r="L11" s="121"/>
      <c r="M11" s="121"/>
    </row>
    <row r="12" spans="1:13" s="122" customFormat="1" ht="18.75">
      <c r="A12" s="168" t="s">
        <v>549</v>
      </c>
      <c r="B12" s="172" t="s">
        <v>555</v>
      </c>
      <c r="C12" s="168" t="s">
        <v>382</v>
      </c>
      <c r="D12" s="173">
        <v>292460</v>
      </c>
      <c r="E12" s="173">
        <v>238600</v>
      </c>
      <c r="F12" s="173">
        <v>215528</v>
      </c>
      <c r="G12" s="173">
        <v>214927</v>
      </c>
      <c r="H12" s="173">
        <v>49038.6</v>
      </c>
      <c r="I12" s="170">
        <f t="shared" si="0"/>
        <v>263965.59999999998</v>
      </c>
      <c r="J12" s="173">
        <v>233968</v>
      </c>
      <c r="K12" s="170">
        <f t="shared" si="1"/>
        <v>29997.599999999977</v>
      </c>
      <c r="L12" s="121"/>
      <c r="M12" s="121"/>
    </row>
    <row r="13" spans="1:13" s="122" customFormat="1" ht="18.75">
      <c r="A13" s="168" t="s">
        <v>549</v>
      </c>
      <c r="B13" s="172" t="s">
        <v>383</v>
      </c>
      <c r="C13" s="168" t="s">
        <v>384</v>
      </c>
      <c r="D13" s="173">
        <v>271700</v>
      </c>
      <c r="E13" s="173">
        <v>247000</v>
      </c>
      <c r="F13" s="173">
        <v>223534</v>
      </c>
      <c r="G13" s="173">
        <v>222591</v>
      </c>
      <c r="H13" s="173">
        <v>22616</v>
      </c>
      <c r="I13" s="170">
        <f t="shared" si="0"/>
        <v>245207</v>
      </c>
      <c r="J13" s="173">
        <v>217360</v>
      </c>
      <c r="K13" s="170">
        <f t="shared" si="1"/>
        <v>27847</v>
      </c>
      <c r="L13" s="121"/>
      <c r="M13" s="121"/>
    </row>
    <row r="14" spans="1:13" s="122" customFormat="1" ht="18.75">
      <c r="A14" s="168" t="s">
        <v>549</v>
      </c>
      <c r="B14" s="172" t="s">
        <v>556</v>
      </c>
      <c r="C14" s="168" t="s">
        <v>385</v>
      </c>
      <c r="D14" s="173">
        <v>1152663.1000000001</v>
      </c>
      <c r="E14" s="173">
        <v>1002421</v>
      </c>
      <c r="F14" s="173">
        <v>998759.84</v>
      </c>
      <c r="G14" s="173">
        <v>992937</v>
      </c>
      <c r="H14" s="173">
        <v>130531.52</v>
      </c>
      <c r="I14" s="170">
        <f t="shared" si="0"/>
        <v>1123468.52</v>
      </c>
      <c r="J14" s="173">
        <v>922130</v>
      </c>
      <c r="K14" s="170">
        <f t="shared" si="1"/>
        <v>201338.52000000002</v>
      </c>
      <c r="L14" s="121"/>
      <c r="M14" s="121"/>
    </row>
    <row r="15" spans="1:13" s="122" customFormat="1" ht="18.75">
      <c r="A15" s="168" t="s">
        <v>549</v>
      </c>
      <c r="B15" s="172" t="s">
        <v>557</v>
      </c>
      <c r="C15" s="168" t="s">
        <v>386</v>
      </c>
      <c r="D15" s="173">
        <v>2074341.4</v>
      </c>
      <c r="E15" s="173">
        <v>1836674</v>
      </c>
      <c r="F15" s="173">
        <v>1820724</v>
      </c>
      <c r="G15" s="173">
        <v>1806409</v>
      </c>
      <c r="H15" s="173">
        <v>200852.95</v>
      </c>
      <c r="I15" s="170">
        <f t="shared" si="0"/>
        <v>2007261.95</v>
      </c>
      <c r="J15" s="173">
        <v>1659473</v>
      </c>
      <c r="K15" s="170">
        <f t="shared" si="1"/>
        <v>347788.94999999995</v>
      </c>
      <c r="L15" s="121"/>
      <c r="M15" s="121"/>
    </row>
    <row r="16" spans="1:13" s="122" customFormat="1" ht="18.75">
      <c r="A16" s="171" t="s">
        <v>223</v>
      </c>
      <c r="B16" s="172"/>
      <c r="C16" s="168"/>
      <c r="D16" s="173">
        <f t="shared" ref="D16:K16" si="2">SUBTOTAL(9,D3:D15)</f>
        <v>11449482.390000001</v>
      </c>
      <c r="E16" s="173">
        <f t="shared" si="2"/>
        <v>9675238.3599999994</v>
      </c>
      <c r="F16" s="173">
        <f t="shared" si="2"/>
        <v>9335770.8399999999</v>
      </c>
      <c r="G16" s="173">
        <f t="shared" si="2"/>
        <v>9195867.9700000007</v>
      </c>
      <c r="H16" s="173">
        <f t="shared" si="2"/>
        <v>1120966.29</v>
      </c>
      <c r="I16" s="170">
        <f t="shared" si="2"/>
        <v>10316834.259999998</v>
      </c>
      <c r="J16" s="173">
        <f t="shared" si="2"/>
        <v>9308905.5899999999</v>
      </c>
      <c r="K16" s="170">
        <f t="shared" si="2"/>
        <v>1007928.67</v>
      </c>
      <c r="L16" s="121"/>
      <c r="M16" s="121"/>
    </row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workbookViewId="0">
      <pane xSplit="4" ySplit="2" topLeftCell="P27" activePane="bottomRight" state="frozen"/>
      <selection activeCell="O58" sqref="O58"/>
      <selection pane="topRight" activeCell="O58" sqref="O58"/>
      <selection pane="bottomLeft" activeCell="O58" sqref="O58"/>
      <selection pane="bottomRight" activeCell="O58" sqref="O58"/>
    </sheetView>
  </sheetViews>
  <sheetFormatPr defaultRowHeight="11.25"/>
  <cols>
    <col min="1" max="1" width="4" style="30" customWidth="1"/>
    <col min="2" max="2" width="14.75" style="6" customWidth="1"/>
    <col min="3" max="3" width="7.125" style="6" customWidth="1"/>
    <col min="4" max="4" width="6.875" style="31" customWidth="1"/>
    <col min="5" max="5" width="12.125" style="6" customWidth="1"/>
    <col min="6" max="6" width="12.5" style="6" customWidth="1"/>
    <col min="7" max="7" width="11.375" style="6" customWidth="1"/>
    <col min="8" max="8" width="10.625" style="6" customWidth="1"/>
    <col min="9" max="10" width="11.75" style="6" customWidth="1"/>
    <col min="11" max="11" width="10.875" style="6" customWidth="1"/>
    <col min="12" max="12" width="11.25" style="6" customWidth="1"/>
    <col min="13" max="13" width="12" style="6" customWidth="1"/>
    <col min="14" max="14" width="11.875" style="6" customWidth="1"/>
    <col min="15" max="16" width="11.125" style="6" customWidth="1"/>
    <col min="17" max="17" width="11.375" style="6" customWidth="1"/>
    <col min="18" max="18" width="12" style="6" customWidth="1"/>
    <col min="19" max="19" width="11.5" style="6" customWidth="1"/>
    <col min="20" max="20" width="11.125" style="6" customWidth="1"/>
    <col min="21" max="21" width="12" style="6" customWidth="1"/>
    <col min="22" max="22" width="11.625" style="6" customWidth="1"/>
    <col min="23" max="23" width="10.75" style="6" customWidth="1"/>
    <col min="24" max="24" width="9.75" style="6" customWidth="1"/>
    <col min="25" max="25" width="13.375" style="6" customWidth="1"/>
    <col min="26" max="26" width="5.875" style="6" customWidth="1"/>
    <col min="27" max="16384" width="9" style="6"/>
  </cols>
  <sheetData>
    <row r="1" spans="1:26" ht="25.5">
      <c r="A1" s="185" t="s">
        <v>370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>
      <c r="A2" s="15" t="s">
        <v>3</v>
      </c>
      <c r="B2" s="15" t="s">
        <v>4</v>
      </c>
      <c r="C2" s="15" t="s">
        <v>5</v>
      </c>
      <c r="D2" s="16" t="s">
        <v>6</v>
      </c>
      <c r="E2" s="16" t="s">
        <v>176</v>
      </c>
      <c r="F2" s="16" t="s">
        <v>177</v>
      </c>
      <c r="G2" s="16" t="s">
        <v>178</v>
      </c>
      <c r="H2" s="16" t="s">
        <v>179</v>
      </c>
      <c r="I2" s="16" t="s">
        <v>180</v>
      </c>
      <c r="J2" s="16" t="s">
        <v>181</v>
      </c>
      <c r="K2" s="16" t="s">
        <v>182</v>
      </c>
      <c r="L2" s="16" t="s">
        <v>183</v>
      </c>
      <c r="M2" s="16" t="s">
        <v>184</v>
      </c>
      <c r="N2" s="16" t="s">
        <v>185</v>
      </c>
      <c r="O2" s="16" t="s">
        <v>186</v>
      </c>
      <c r="P2" s="16" t="s">
        <v>187</v>
      </c>
      <c r="Q2" s="16" t="s">
        <v>188</v>
      </c>
      <c r="R2" s="16" t="s">
        <v>189</v>
      </c>
      <c r="S2" s="16" t="s">
        <v>190</v>
      </c>
      <c r="T2" s="16" t="s">
        <v>191</v>
      </c>
      <c r="U2" s="16" t="s">
        <v>192</v>
      </c>
      <c r="V2" s="16" t="s">
        <v>193</v>
      </c>
      <c r="W2" s="16" t="s">
        <v>194</v>
      </c>
      <c r="X2" s="16" t="s">
        <v>195</v>
      </c>
      <c r="Y2" s="16" t="s">
        <v>7</v>
      </c>
      <c r="Z2" s="17" t="s">
        <v>8</v>
      </c>
    </row>
    <row r="3" spans="1:26" ht="27.95" customHeight="1">
      <c r="A3" s="1" t="s">
        <v>9</v>
      </c>
      <c r="B3" s="7" t="s">
        <v>10</v>
      </c>
      <c r="C3" s="7"/>
      <c r="D3" s="14" t="s">
        <v>11</v>
      </c>
      <c r="E3" s="5">
        <f t="shared" ref="E3:X3" si="0">E4+E31+E38</f>
        <v>127487255.90000001</v>
      </c>
      <c r="F3" s="5">
        <f t="shared" si="0"/>
        <v>42952525.539999999</v>
      </c>
      <c r="G3" s="5">
        <f t="shared" si="0"/>
        <v>35832076.540000007</v>
      </c>
      <c r="H3" s="5">
        <f t="shared" si="0"/>
        <v>45665068.099999994</v>
      </c>
      <c r="I3" s="5">
        <f t="shared" si="0"/>
        <v>158114549.19</v>
      </c>
      <c r="J3" s="5">
        <f t="shared" si="0"/>
        <v>26797810.68</v>
      </c>
      <c r="K3" s="5">
        <f t="shared" si="0"/>
        <v>60033049.349999994</v>
      </c>
      <c r="L3" s="5">
        <f t="shared" si="0"/>
        <v>25948659.41</v>
      </c>
      <c r="M3" s="5">
        <f t="shared" si="0"/>
        <v>56488653.259999998</v>
      </c>
      <c r="N3" s="5">
        <f t="shared" si="0"/>
        <v>38823260.599999994</v>
      </c>
      <c r="O3" s="5">
        <f t="shared" si="0"/>
        <v>17853092.59</v>
      </c>
      <c r="P3" s="5">
        <f t="shared" si="0"/>
        <v>18269604.329999998</v>
      </c>
      <c r="Q3" s="5">
        <f t="shared" si="0"/>
        <v>11282578.67</v>
      </c>
      <c r="R3" s="5">
        <f t="shared" si="0"/>
        <v>16859888.919999998</v>
      </c>
      <c r="S3" s="5">
        <f t="shared" si="0"/>
        <v>8227042.7699999996</v>
      </c>
      <c r="T3" s="5">
        <f t="shared" si="0"/>
        <v>7473681.3599999994</v>
      </c>
      <c r="U3" s="5">
        <f t="shared" si="0"/>
        <v>29952615.190000005</v>
      </c>
      <c r="V3" s="5">
        <f t="shared" si="0"/>
        <v>4396715.74</v>
      </c>
      <c r="W3" s="5">
        <f t="shared" si="0"/>
        <v>36563779.93</v>
      </c>
      <c r="X3" s="5">
        <f t="shared" si="0"/>
        <v>3141337.1599999997</v>
      </c>
      <c r="Y3" s="5">
        <f t="shared" ref="Y3:Y66" si="1">SUM(E3:X3)</f>
        <v>772163245.23000002</v>
      </c>
      <c r="Z3" s="9"/>
    </row>
    <row r="4" spans="1:26" ht="27.95" customHeight="1">
      <c r="A4" s="1" t="s">
        <v>12</v>
      </c>
      <c r="B4" s="7" t="s">
        <v>0</v>
      </c>
      <c r="C4" s="7"/>
      <c r="D4" s="14" t="s">
        <v>11</v>
      </c>
      <c r="E4" s="5">
        <f>E5+E8+E12+E15+E20+E25+E27+E29+E30</f>
        <v>107289362.82000001</v>
      </c>
      <c r="F4" s="5">
        <f t="shared" ref="F4:X4" si="2">F5+F8+F12+F15+F20+F25+F27+F29+F30</f>
        <v>35576872.109999999</v>
      </c>
      <c r="G4" s="5">
        <f t="shared" si="2"/>
        <v>29286542.630000003</v>
      </c>
      <c r="H4" s="5">
        <f t="shared" si="2"/>
        <v>38283351.009999998</v>
      </c>
      <c r="I4" s="5">
        <f t="shared" si="2"/>
        <v>133283341.93000001</v>
      </c>
      <c r="J4" s="5">
        <f t="shared" si="2"/>
        <v>22820136.939999998</v>
      </c>
      <c r="K4" s="5">
        <f t="shared" si="2"/>
        <v>49963786.759999998</v>
      </c>
      <c r="L4" s="5">
        <f t="shared" si="2"/>
        <v>22121063.859999999</v>
      </c>
      <c r="M4" s="5">
        <f t="shared" si="2"/>
        <v>48126318.969999999</v>
      </c>
      <c r="N4" s="5">
        <f t="shared" si="2"/>
        <v>33491743.689999998</v>
      </c>
      <c r="O4" s="5">
        <f t="shared" si="2"/>
        <v>15097284.300000001</v>
      </c>
      <c r="P4" s="5">
        <f t="shared" si="2"/>
        <v>15812212.919999998</v>
      </c>
      <c r="Q4" s="5">
        <f t="shared" si="2"/>
        <v>9918593.5800000001</v>
      </c>
      <c r="R4" s="5">
        <f t="shared" si="2"/>
        <v>14372125.489999998</v>
      </c>
      <c r="S4" s="5">
        <f t="shared" si="2"/>
        <v>6980815.6799999997</v>
      </c>
      <c r="T4" s="5">
        <f t="shared" si="2"/>
        <v>6278328.4199999999</v>
      </c>
      <c r="U4" s="5">
        <f t="shared" si="2"/>
        <v>26997591.480000004</v>
      </c>
      <c r="V4" s="5">
        <f t="shared" si="2"/>
        <v>3301888.14</v>
      </c>
      <c r="W4" s="5">
        <f t="shared" si="2"/>
        <v>29817728.960000001</v>
      </c>
      <c r="X4" s="5">
        <f t="shared" si="2"/>
        <v>2645964.59</v>
      </c>
      <c r="Y4" s="5">
        <f t="shared" si="1"/>
        <v>651465054.27999997</v>
      </c>
      <c r="Z4" s="9"/>
    </row>
    <row r="5" spans="1:26" ht="27.95" customHeight="1">
      <c r="A5" s="1" t="s">
        <v>13</v>
      </c>
      <c r="B5" s="7" t="s">
        <v>14</v>
      </c>
      <c r="C5" s="7"/>
      <c r="D5" s="14" t="s">
        <v>11</v>
      </c>
      <c r="E5" s="5">
        <f>E6+E7</f>
        <v>13740516</v>
      </c>
      <c r="F5" s="5">
        <f t="shared" ref="F5:X5" si="3">F6+F7</f>
        <v>4557336</v>
      </c>
      <c r="G5" s="5">
        <f t="shared" si="3"/>
        <v>3827964</v>
      </c>
      <c r="H5" s="5">
        <f t="shared" si="3"/>
        <v>4579920</v>
      </c>
      <c r="I5" s="5">
        <f t="shared" si="3"/>
        <v>16444056</v>
      </c>
      <c r="J5" s="5">
        <f t="shared" si="3"/>
        <v>2969184</v>
      </c>
      <c r="K5" s="5">
        <f t="shared" si="3"/>
        <v>5573076</v>
      </c>
      <c r="L5" s="5">
        <f t="shared" si="3"/>
        <v>3047400</v>
      </c>
      <c r="M5" s="5">
        <f t="shared" si="3"/>
        <v>5558160</v>
      </c>
      <c r="N5" s="5">
        <f t="shared" si="3"/>
        <v>4529340</v>
      </c>
      <c r="O5" s="5">
        <f t="shared" si="3"/>
        <v>2108412</v>
      </c>
      <c r="P5" s="5">
        <f t="shared" si="3"/>
        <v>1918452</v>
      </c>
      <c r="Q5" s="5">
        <f t="shared" si="3"/>
        <v>1248000</v>
      </c>
      <c r="R5" s="5">
        <f t="shared" si="3"/>
        <v>1971072</v>
      </c>
      <c r="S5" s="5">
        <f t="shared" si="3"/>
        <v>756912</v>
      </c>
      <c r="T5" s="5">
        <f t="shared" si="3"/>
        <v>743808</v>
      </c>
      <c r="U5" s="5">
        <f t="shared" si="3"/>
        <v>3665472</v>
      </c>
      <c r="V5" s="5">
        <f t="shared" si="3"/>
        <v>449088</v>
      </c>
      <c r="W5" s="5">
        <f t="shared" si="3"/>
        <v>3344136</v>
      </c>
      <c r="X5" s="5">
        <f t="shared" si="3"/>
        <v>348912</v>
      </c>
      <c r="Y5" s="5">
        <f t="shared" si="1"/>
        <v>81381216</v>
      </c>
      <c r="Z5" s="9"/>
    </row>
    <row r="6" spans="1:26" ht="27.95" customHeight="1">
      <c r="A6" s="1" t="s">
        <v>15</v>
      </c>
      <c r="B6" s="7" t="s">
        <v>16</v>
      </c>
      <c r="C6" s="7" t="s">
        <v>17</v>
      </c>
      <c r="D6" s="14" t="s">
        <v>18</v>
      </c>
      <c r="E6" s="8">
        <f>642716*12</f>
        <v>7712592</v>
      </c>
      <c r="F6" s="8">
        <f>213829*12</f>
        <v>2565948</v>
      </c>
      <c r="G6" s="8">
        <v>2047212</v>
      </c>
      <c r="H6" s="8">
        <f>237599*12</f>
        <v>2851188</v>
      </c>
      <c r="I6" s="8">
        <f>804863*12</f>
        <v>9658356</v>
      </c>
      <c r="J6" s="8">
        <v>1551336</v>
      </c>
      <c r="K6" s="8">
        <f>279230*12</f>
        <v>3350760</v>
      </c>
      <c r="L6" s="8">
        <f>132977*12</f>
        <v>1595724</v>
      </c>
      <c r="M6" s="8">
        <f>288010*12</f>
        <v>3456120</v>
      </c>
      <c r="N6" s="8">
        <f>206362*12</f>
        <v>2476344</v>
      </c>
      <c r="O6" s="8">
        <f>92213*12</f>
        <v>1106556</v>
      </c>
      <c r="P6" s="8">
        <f>102839*12</f>
        <v>1234068</v>
      </c>
      <c r="Q6" s="8">
        <f>65000*12</f>
        <v>780000</v>
      </c>
      <c r="R6" s="8">
        <f>89650*12</f>
        <v>1075800</v>
      </c>
      <c r="S6" s="8">
        <f>39259*12</f>
        <v>471108</v>
      </c>
      <c r="T6" s="8">
        <f>39534*12</f>
        <v>474408</v>
      </c>
      <c r="U6" s="8">
        <f>170445*12</f>
        <v>2045340</v>
      </c>
      <c r="V6" s="8">
        <f>23646*12</f>
        <v>283752</v>
      </c>
      <c r="W6" s="8">
        <f>189576*12</f>
        <v>2274912</v>
      </c>
      <c r="X6" s="8">
        <v>180096</v>
      </c>
      <c r="Y6" s="5">
        <f t="shared" si="1"/>
        <v>47191620</v>
      </c>
      <c r="Z6" s="18"/>
    </row>
    <row r="7" spans="1:26" ht="27.95" customHeight="1">
      <c r="A7" s="1" t="s">
        <v>19</v>
      </c>
      <c r="B7" s="7" t="s">
        <v>20</v>
      </c>
      <c r="C7" s="7" t="s">
        <v>17</v>
      </c>
      <c r="D7" s="14" t="s">
        <v>18</v>
      </c>
      <c r="E7" s="8">
        <f>502327*12</f>
        <v>6027924</v>
      </c>
      <c r="F7" s="8">
        <f>165949*12</f>
        <v>1991388</v>
      </c>
      <c r="G7" s="8">
        <v>1780752</v>
      </c>
      <c r="H7" s="8">
        <f>144061*12</f>
        <v>1728732</v>
      </c>
      <c r="I7" s="8">
        <f>565475*12</f>
        <v>6785700</v>
      </c>
      <c r="J7" s="8">
        <v>1417848</v>
      </c>
      <c r="K7" s="8">
        <f>185193*12</f>
        <v>2222316</v>
      </c>
      <c r="L7" s="8">
        <f>120973*12</f>
        <v>1451676</v>
      </c>
      <c r="M7" s="8">
        <f>175170*12</f>
        <v>2102040</v>
      </c>
      <c r="N7" s="8">
        <f>171083*12</f>
        <v>2052996</v>
      </c>
      <c r="O7" s="8">
        <f>83488*12</f>
        <v>1001856</v>
      </c>
      <c r="P7" s="8">
        <f>57032*12</f>
        <v>684384</v>
      </c>
      <c r="Q7" s="8">
        <f>39000*12</f>
        <v>468000</v>
      </c>
      <c r="R7" s="8">
        <f>74606*12</f>
        <v>895272</v>
      </c>
      <c r="S7" s="8">
        <f>23817*12</f>
        <v>285804</v>
      </c>
      <c r="T7" s="8">
        <f>22450*12</f>
        <v>269400</v>
      </c>
      <c r="U7" s="8">
        <f>135011*12</f>
        <v>1620132</v>
      </c>
      <c r="V7" s="8">
        <f>13778*12</f>
        <v>165336</v>
      </c>
      <c r="W7" s="8">
        <f>89102*12</f>
        <v>1069224</v>
      </c>
      <c r="X7" s="8">
        <v>168816</v>
      </c>
      <c r="Y7" s="5">
        <f t="shared" si="1"/>
        <v>34189596</v>
      </c>
      <c r="Z7" s="9"/>
    </row>
    <row r="8" spans="1:26" ht="27.95" customHeight="1">
      <c r="A8" s="1" t="s">
        <v>21</v>
      </c>
      <c r="B8" s="7" t="s">
        <v>22</v>
      </c>
      <c r="C8" s="7"/>
      <c r="D8" s="14" t="s">
        <v>11</v>
      </c>
      <c r="E8" s="5">
        <f>E9+E10</f>
        <v>1439700</v>
      </c>
      <c r="F8" s="5">
        <f t="shared" ref="F8:X8" si="4">F9+F10</f>
        <v>492264</v>
      </c>
      <c r="G8" s="5">
        <f t="shared" si="4"/>
        <v>407592</v>
      </c>
      <c r="H8" s="5">
        <f t="shared" si="4"/>
        <v>533124</v>
      </c>
      <c r="I8" s="5">
        <f t="shared" si="4"/>
        <v>1901292</v>
      </c>
      <c r="J8" s="5">
        <f t="shared" si="4"/>
        <v>321588</v>
      </c>
      <c r="K8" s="5">
        <f t="shared" si="4"/>
        <v>714180</v>
      </c>
      <c r="L8" s="5">
        <f t="shared" si="4"/>
        <v>305700</v>
      </c>
      <c r="M8" s="5">
        <f t="shared" si="4"/>
        <v>682848</v>
      </c>
      <c r="N8" s="5">
        <f t="shared" si="4"/>
        <v>525888</v>
      </c>
      <c r="O8" s="5">
        <f t="shared" si="4"/>
        <v>236016</v>
      </c>
      <c r="P8" s="5">
        <f t="shared" si="4"/>
        <v>255984</v>
      </c>
      <c r="Q8" s="5">
        <f t="shared" si="4"/>
        <v>154908</v>
      </c>
      <c r="R8" s="5">
        <f t="shared" si="4"/>
        <v>225024</v>
      </c>
      <c r="S8" s="5">
        <f t="shared" si="4"/>
        <v>116952</v>
      </c>
      <c r="T8" s="5">
        <f t="shared" si="4"/>
        <v>101340</v>
      </c>
      <c r="U8" s="5">
        <f t="shared" si="4"/>
        <v>418356</v>
      </c>
      <c r="V8" s="5">
        <f t="shared" si="4"/>
        <v>53460</v>
      </c>
      <c r="W8" s="5">
        <f t="shared" si="4"/>
        <v>441636</v>
      </c>
      <c r="X8" s="5">
        <f t="shared" si="4"/>
        <v>37464</v>
      </c>
      <c r="Y8" s="5">
        <f t="shared" si="1"/>
        <v>9365316</v>
      </c>
      <c r="Z8" s="9"/>
    </row>
    <row r="9" spans="1:26" ht="27.95" customHeight="1">
      <c r="A9" s="1" t="s">
        <v>23</v>
      </c>
      <c r="B9" s="7" t="s">
        <v>24</v>
      </c>
      <c r="C9" s="7" t="s">
        <v>17</v>
      </c>
      <c r="D9" s="14" t="s">
        <v>18</v>
      </c>
      <c r="E9" s="8">
        <f>1615*12</f>
        <v>19380</v>
      </c>
      <c r="F9" s="8">
        <f>542*12</f>
        <v>6504</v>
      </c>
      <c r="G9" s="8">
        <v>6312</v>
      </c>
      <c r="H9" s="8">
        <f>427*12</f>
        <v>5124</v>
      </c>
      <c r="I9" s="8">
        <f>1801*12</f>
        <v>21612</v>
      </c>
      <c r="J9" s="8">
        <v>4788</v>
      </c>
      <c r="K9" s="8">
        <f>555*12</f>
        <v>6660</v>
      </c>
      <c r="L9" s="8">
        <f>395*12</f>
        <v>4740</v>
      </c>
      <c r="M9" s="8">
        <f>584*12</f>
        <v>7008</v>
      </c>
      <c r="N9" s="8">
        <f>704*12</f>
        <v>8448</v>
      </c>
      <c r="O9" s="8">
        <f>308*12</f>
        <v>3696</v>
      </c>
      <c r="P9" s="8">
        <f>212*12</f>
        <v>2544</v>
      </c>
      <c r="Q9" s="8">
        <f>149*12</f>
        <v>1788</v>
      </c>
      <c r="R9" s="8">
        <f>272*12</f>
        <v>3264</v>
      </c>
      <c r="S9" s="8">
        <f>66*12</f>
        <v>792</v>
      </c>
      <c r="T9" s="8">
        <f>85*12</f>
        <v>1020</v>
      </c>
      <c r="U9" s="8">
        <f>543*12</f>
        <v>6516</v>
      </c>
      <c r="V9" s="8">
        <f>55*12</f>
        <v>660</v>
      </c>
      <c r="W9" s="8">
        <f>283*12</f>
        <v>3396</v>
      </c>
      <c r="X9" s="8">
        <v>504</v>
      </c>
      <c r="Y9" s="5">
        <f t="shared" si="1"/>
        <v>114756</v>
      </c>
      <c r="Z9" s="9"/>
    </row>
    <row r="10" spans="1:26" ht="27.95" customHeight="1">
      <c r="A10" s="1" t="s">
        <v>25</v>
      </c>
      <c r="B10" s="7" t="s">
        <v>26</v>
      </c>
      <c r="C10" s="7"/>
      <c r="D10" s="14" t="s">
        <v>11</v>
      </c>
      <c r="E10" s="5">
        <f>E11</f>
        <v>1420320</v>
      </c>
      <c r="F10" s="5">
        <f t="shared" ref="F10:X10" si="5">F11</f>
        <v>485760</v>
      </c>
      <c r="G10" s="5">
        <f t="shared" si="5"/>
        <v>401280</v>
      </c>
      <c r="H10" s="5">
        <f t="shared" si="5"/>
        <v>528000</v>
      </c>
      <c r="I10" s="5">
        <f t="shared" si="5"/>
        <v>1879680</v>
      </c>
      <c r="J10" s="5">
        <f t="shared" si="5"/>
        <v>316800</v>
      </c>
      <c r="K10" s="5">
        <f t="shared" si="5"/>
        <v>707520</v>
      </c>
      <c r="L10" s="5">
        <f t="shared" si="5"/>
        <v>300960</v>
      </c>
      <c r="M10" s="5">
        <f t="shared" si="5"/>
        <v>675840</v>
      </c>
      <c r="N10" s="5">
        <f t="shared" si="5"/>
        <v>517440</v>
      </c>
      <c r="O10" s="5">
        <f t="shared" si="5"/>
        <v>232320</v>
      </c>
      <c r="P10" s="5">
        <f t="shared" si="5"/>
        <v>253440</v>
      </c>
      <c r="Q10" s="5">
        <f t="shared" si="5"/>
        <v>153120</v>
      </c>
      <c r="R10" s="5">
        <f t="shared" si="5"/>
        <v>221760</v>
      </c>
      <c r="S10" s="5">
        <f t="shared" si="5"/>
        <v>116160</v>
      </c>
      <c r="T10" s="5">
        <f t="shared" si="5"/>
        <v>100320</v>
      </c>
      <c r="U10" s="5">
        <f t="shared" si="5"/>
        <v>411840</v>
      </c>
      <c r="V10" s="5">
        <f t="shared" si="5"/>
        <v>52800</v>
      </c>
      <c r="W10" s="5">
        <f t="shared" si="5"/>
        <v>438240</v>
      </c>
      <c r="X10" s="5">
        <f t="shared" si="5"/>
        <v>36960</v>
      </c>
      <c r="Y10" s="5">
        <f t="shared" si="1"/>
        <v>9250560</v>
      </c>
      <c r="Z10" s="9"/>
    </row>
    <row r="11" spans="1:26" s="13" customFormat="1" ht="27.95" customHeight="1">
      <c r="A11" s="1" t="s">
        <v>27</v>
      </c>
      <c r="B11" s="12" t="s">
        <v>139</v>
      </c>
      <c r="C11" s="12" t="s">
        <v>17</v>
      </c>
      <c r="D11" s="9" t="s">
        <v>11</v>
      </c>
      <c r="E11" s="5">
        <f>440*12*E61</f>
        <v>1420320</v>
      </c>
      <c r="F11" s="5">
        <f t="shared" ref="F11:X11" si="6">440*12*F61</f>
        <v>485760</v>
      </c>
      <c r="G11" s="5">
        <f t="shared" si="6"/>
        <v>401280</v>
      </c>
      <c r="H11" s="5">
        <f t="shared" si="6"/>
        <v>528000</v>
      </c>
      <c r="I11" s="5">
        <f t="shared" si="6"/>
        <v>1879680</v>
      </c>
      <c r="J11" s="5">
        <f t="shared" si="6"/>
        <v>316800</v>
      </c>
      <c r="K11" s="5">
        <f t="shared" si="6"/>
        <v>707520</v>
      </c>
      <c r="L11" s="5">
        <f t="shared" si="6"/>
        <v>300960</v>
      </c>
      <c r="M11" s="5">
        <f t="shared" si="6"/>
        <v>675840</v>
      </c>
      <c r="N11" s="5">
        <f t="shared" si="6"/>
        <v>517440</v>
      </c>
      <c r="O11" s="5">
        <f t="shared" si="6"/>
        <v>232320</v>
      </c>
      <c r="P11" s="5">
        <f t="shared" si="6"/>
        <v>253440</v>
      </c>
      <c r="Q11" s="5">
        <f t="shared" si="6"/>
        <v>153120</v>
      </c>
      <c r="R11" s="5">
        <f t="shared" si="6"/>
        <v>221760</v>
      </c>
      <c r="S11" s="5">
        <f t="shared" si="6"/>
        <v>116160</v>
      </c>
      <c r="T11" s="5">
        <f t="shared" si="6"/>
        <v>100320</v>
      </c>
      <c r="U11" s="5">
        <f t="shared" si="6"/>
        <v>411840</v>
      </c>
      <c r="V11" s="5">
        <f t="shared" si="6"/>
        <v>52800</v>
      </c>
      <c r="W11" s="5">
        <f t="shared" si="6"/>
        <v>438240</v>
      </c>
      <c r="X11" s="5">
        <f t="shared" si="6"/>
        <v>36960</v>
      </c>
      <c r="Y11" s="5">
        <f t="shared" si="1"/>
        <v>9250560</v>
      </c>
      <c r="Z11" s="9"/>
    </row>
    <row r="12" spans="1:26" ht="27.95" customHeight="1">
      <c r="A12" s="1" t="s">
        <v>28</v>
      </c>
      <c r="B12" s="7" t="s">
        <v>29</v>
      </c>
      <c r="C12" s="7"/>
      <c r="D12" s="14" t="s">
        <v>30</v>
      </c>
      <c r="E12" s="5">
        <f>E13+E14</f>
        <v>556069.67999999993</v>
      </c>
      <c r="F12" s="5">
        <f t="shared" ref="F12:X12" si="7">F13+F14</f>
        <v>174074.97</v>
      </c>
      <c r="G12" s="5">
        <f t="shared" si="7"/>
        <v>141038.07</v>
      </c>
      <c r="H12" s="5">
        <f t="shared" si="7"/>
        <v>189021.31</v>
      </c>
      <c r="I12" s="5">
        <f t="shared" si="7"/>
        <v>620899.63</v>
      </c>
      <c r="J12" s="5">
        <f t="shared" si="7"/>
        <v>107253.5</v>
      </c>
      <c r="K12" s="5">
        <f t="shared" si="7"/>
        <v>240539.32</v>
      </c>
      <c r="L12" s="5">
        <f t="shared" si="7"/>
        <v>105443.86</v>
      </c>
      <c r="M12" s="5">
        <f t="shared" si="7"/>
        <v>232485.27000000002</v>
      </c>
      <c r="N12" s="5">
        <f t="shared" si="7"/>
        <v>161221.39000000001</v>
      </c>
      <c r="O12" s="5">
        <f t="shared" si="7"/>
        <v>72144.86</v>
      </c>
      <c r="P12" s="5">
        <f t="shared" si="7"/>
        <v>74168.36</v>
      </c>
      <c r="Q12" s="5">
        <f t="shared" si="7"/>
        <v>49374.14</v>
      </c>
      <c r="R12" s="5">
        <f t="shared" si="7"/>
        <v>68912.350000000006</v>
      </c>
      <c r="S12" s="5">
        <f t="shared" si="7"/>
        <v>31620.239999999998</v>
      </c>
      <c r="T12" s="5">
        <f t="shared" si="7"/>
        <v>29934.720000000001</v>
      </c>
      <c r="U12" s="5">
        <f t="shared" si="7"/>
        <v>132954.91999999998</v>
      </c>
      <c r="V12" s="5">
        <f t="shared" si="7"/>
        <v>14760.14</v>
      </c>
      <c r="W12" s="5">
        <f t="shared" si="7"/>
        <v>132114.1</v>
      </c>
      <c r="X12" s="5">
        <f t="shared" si="7"/>
        <v>14005.73</v>
      </c>
      <c r="Y12" s="5">
        <f t="shared" si="1"/>
        <v>3148036.560000001</v>
      </c>
      <c r="Z12" s="9"/>
    </row>
    <row r="13" spans="1:26" s="13" customFormat="1" ht="27.95" customHeight="1">
      <c r="A13" s="1" t="s">
        <v>31</v>
      </c>
      <c r="B13" s="12" t="s">
        <v>140</v>
      </c>
      <c r="C13" s="12" t="s">
        <v>17</v>
      </c>
      <c r="D13" s="9" t="s">
        <v>32</v>
      </c>
      <c r="E13" s="5">
        <f>ROUND(E29/0.07*0.00256,2)</f>
        <v>188298.68</v>
      </c>
      <c r="F13" s="5">
        <f t="shared" ref="F13:X13" si="8">ROUND(F29/0.07*0.00256,2)</f>
        <v>58945.97</v>
      </c>
      <c r="G13" s="5">
        <f t="shared" si="8"/>
        <v>47759.07</v>
      </c>
      <c r="H13" s="5">
        <f t="shared" si="8"/>
        <v>64007.31</v>
      </c>
      <c r="I13" s="5">
        <f t="shared" si="8"/>
        <v>210251.63</v>
      </c>
      <c r="J13" s="5">
        <f t="shared" si="8"/>
        <v>36318.5</v>
      </c>
      <c r="K13" s="5">
        <f t="shared" si="8"/>
        <v>81452.320000000007</v>
      </c>
      <c r="L13" s="5">
        <f t="shared" si="8"/>
        <v>35705.86</v>
      </c>
      <c r="M13" s="5">
        <f t="shared" si="8"/>
        <v>78725.27</v>
      </c>
      <c r="N13" s="5">
        <f t="shared" si="8"/>
        <v>54593.39</v>
      </c>
      <c r="O13" s="5">
        <f t="shared" si="8"/>
        <v>24429.86</v>
      </c>
      <c r="P13" s="5">
        <f t="shared" si="8"/>
        <v>25115.360000000001</v>
      </c>
      <c r="Q13" s="5">
        <f t="shared" si="8"/>
        <v>16719.14</v>
      </c>
      <c r="R13" s="5">
        <f t="shared" si="8"/>
        <v>23335.35</v>
      </c>
      <c r="S13" s="5">
        <f t="shared" si="8"/>
        <v>10707.24</v>
      </c>
      <c r="T13" s="5">
        <f t="shared" si="8"/>
        <v>10136.719999999999</v>
      </c>
      <c r="U13" s="5">
        <f t="shared" si="8"/>
        <v>45021.919999999998</v>
      </c>
      <c r="V13" s="5">
        <f t="shared" si="8"/>
        <v>4998.1400000000003</v>
      </c>
      <c r="W13" s="5">
        <f t="shared" si="8"/>
        <v>44737.1</v>
      </c>
      <c r="X13" s="5">
        <f t="shared" si="8"/>
        <v>4742.7299999999996</v>
      </c>
      <c r="Y13" s="5">
        <f t="shared" si="1"/>
        <v>1066001.56</v>
      </c>
      <c r="Z13" s="9"/>
    </row>
    <row r="14" spans="1:26" s="13" customFormat="1" ht="27.95" customHeight="1">
      <c r="A14" s="1" t="s">
        <v>33</v>
      </c>
      <c r="B14" s="12" t="s">
        <v>141</v>
      </c>
      <c r="C14" s="12" t="s">
        <v>17</v>
      </c>
      <c r="D14" s="9" t="s">
        <v>32</v>
      </c>
      <c r="E14" s="5">
        <f>ROUND(E29/0.07*0.005,0)</f>
        <v>367771</v>
      </c>
      <c r="F14" s="5">
        <f t="shared" ref="F14:X14" si="9">ROUND(F29/0.07*0.005,0)</f>
        <v>115129</v>
      </c>
      <c r="G14" s="5">
        <f t="shared" si="9"/>
        <v>93279</v>
      </c>
      <c r="H14" s="5">
        <f t="shared" si="9"/>
        <v>125014</v>
      </c>
      <c r="I14" s="5">
        <f t="shared" si="9"/>
        <v>410648</v>
      </c>
      <c r="J14" s="5">
        <f t="shared" si="9"/>
        <v>70935</v>
      </c>
      <c r="K14" s="5">
        <f t="shared" si="9"/>
        <v>159087</v>
      </c>
      <c r="L14" s="5">
        <f t="shared" si="9"/>
        <v>69738</v>
      </c>
      <c r="M14" s="5">
        <f t="shared" si="9"/>
        <v>153760</v>
      </c>
      <c r="N14" s="5">
        <f t="shared" si="9"/>
        <v>106628</v>
      </c>
      <c r="O14" s="5">
        <f t="shared" si="9"/>
        <v>47715</v>
      </c>
      <c r="P14" s="5">
        <f t="shared" si="9"/>
        <v>49053</v>
      </c>
      <c r="Q14" s="5">
        <f t="shared" si="9"/>
        <v>32655</v>
      </c>
      <c r="R14" s="5">
        <f t="shared" si="9"/>
        <v>45577</v>
      </c>
      <c r="S14" s="5">
        <f t="shared" si="9"/>
        <v>20913</v>
      </c>
      <c r="T14" s="5">
        <f t="shared" si="9"/>
        <v>19798</v>
      </c>
      <c r="U14" s="5">
        <f t="shared" si="9"/>
        <v>87933</v>
      </c>
      <c r="V14" s="5">
        <f t="shared" si="9"/>
        <v>9762</v>
      </c>
      <c r="W14" s="5">
        <f t="shared" si="9"/>
        <v>87377</v>
      </c>
      <c r="X14" s="5">
        <f t="shared" si="9"/>
        <v>9263</v>
      </c>
      <c r="Y14" s="5">
        <f t="shared" si="1"/>
        <v>2082035</v>
      </c>
      <c r="Z14" s="9"/>
    </row>
    <row r="15" spans="1:26" ht="27.95" customHeight="1">
      <c r="A15" s="1" t="s">
        <v>34</v>
      </c>
      <c r="B15" s="7" t="s">
        <v>35</v>
      </c>
      <c r="C15" s="7"/>
      <c r="D15" s="14" t="s">
        <v>11</v>
      </c>
      <c r="E15" s="5">
        <f>E16+E17+E18+E19</f>
        <v>58453700</v>
      </c>
      <c r="F15" s="5">
        <f t="shared" ref="F15:X15" si="10">F16+F17+F18+F19</f>
        <v>19991600</v>
      </c>
      <c r="G15" s="5">
        <f t="shared" si="10"/>
        <v>16514800</v>
      </c>
      <c r="H15" s="5">
        <f t="shared" si="10"/>
        <v>21730000</v>
      </c>
      <c r="I15" s="5">
        <f t="shared" si="10"/>
        <v>77358800</v>
      </c>
      <c r="J15" s="5">
        <f t="shared" si="10"/>
        <v>13038000</v>
      </c>
      <c r="K15" s="5">
        <f t="shared" si="10"/>
        <v>29118200</v>
      </c>
      <c r="L15" s="5">
        <f t="shared" si="10"/>
        <v>12386100</v>
      </c>
      <c r="M15" s="5">
        <f t="shared" si="10"/>
        <v>27814400</v>
      </c>
      <c r="N15" s="5">
        <f t="shared" si="10"/>
        <v>18678800</v>
      </c>
      <c r="O15" s="5">
        <f t="shared" si="10"/>
        <v>8386400</v>
      </c>
      <c r="P15" s="5">
        <f t="shared" si="10"/>
        <v>9148800</v>
      </c>
      <c r="Q15" s="5">
        <f t="shared" si="10"/>
        <v>5527400</v>
      </c>
      <c r="R15" s="5">
        <f t="shared" si="10"/>
        <v>8005200</v>
      </c>
      <c r="S15" s="5">
        <f t="shared" si="10"/>
        <v>4193200</v>
      </c>
      <c r="T15" s="5">
        <f t="shared" si="10"/>
        <v>3621400</v>
      </c>
      <c r="U15" s="5">
        <f t="shared" si="10"/>
        <v>14866800</v>
      </c>
      <c r="V15" s="5">
        <f t="shared" si="10"/>
        <v>1906000</v>
      </c>
      <c r="W15" s="5">
        <f t="shared" si="10"/>
        <v>18035900</v>
      </c>
      <c r="X15" s="5">
        <f t="shared" si="10"/>
        <v>1411900</v>
      </c>
      <c r="Y15" s="5">
        <f t="shared" si="1"/>
        <v>370187400</v>
      </c>
      <c r="Z15" s="9"/>
    </row>
    <row r="16" spans="1:26" ht="27.95" customHeight="1">
      <c r="A16" s="1" t="s">
        <v>36</v>
      </c>
      <c r="B16" s="2" t="s">
        <v>37</v>
      </c>
      <c r="C16" s="2" t="s">
        <v>17</v>
      </c>
      <c r="D16" s="3" t="s">
        <v>142</v>
      </c>
      <c r="E16" s="4">
        <v>53458676</v>
      </c>
      <c r="F16" s="4">
        <v>18233824</v>
      </c>
      <c r="G16" s="4">
        <v>14995004</v>
      </c>
      <c r="H16" s="4">
        <v>19813036</v>
      </c>
      <c r="I16" s="4">
        <v>70923772</v>
      </c>
      <c r="J16" s="4">
        <v>11564816</v>
      </c>
      <c r="K16" s="4">
        <v>26312716</v>
      </c>
      <c r="L16" s="4">
        <v>11230828</v>
      </c>
      <c r="M16" s="4">
        <v>25477580</v>
      </c>
      <c r="N16" s="4">
        <v>17753856</v>
      </c>
      <c r="O16" s="4">
        <v>7877844</v>
      </c>
      <c r="P16" s="4">
        <v>8614736</v>
      </c>
      <c r="Q16" s="4">
        <v>5101564</v>
      </c>
      <c r="R16" s="4">
        <v>7506196</v>
      </c>
      <c r="S16" s="4">
        <v>4061200</v>
      </c>
      <c r="T16" s="4">
        <v>3283604</v>
      </c>
      <c r="U16" s="4">
        <v>14398800</v>
      </c>
      <c r="V16" s="4">
        <v>1576484</v>
      </c>
      <c r="W16" s="4">
        <v>16443428</v>
      </c>
      <c r="X16" s="4">
        <v>1369900</v>
      </c>
      <c r="Y16" s="5">
        <f t="shared" si="1"/>
        <v>339997864</v>
      </c>
      <c r="Z16" s="3"/>
    </row>
    <row r="17" spans="1:26" ht="27.95" customHeight="1">
      <c r="A17" s="1" t="s">
        <v>38</v>
      </c>
      <c r="B17" s="2" t="s">
        <v>39</v>
      </c>
      <c r="C17" s="2" t="s">
        <v>17</v>
      </c>
      <c r="D17" s="3" t="s">
        <v>40</v>
      </c>
      <c r="E17" s="4">
        <v>691024</v>
      </c>
      <c r="F17" s="4">
        <v>285776</v>
      </c>
      <c r="G17" s="4">
        <v>303796</v>
      </c>
      <c r="H17" s="4">
        <v>316964</v>
      </c>
      <c r="I17" s="4">
        <v>739028</v>
      </c>
      <c r="J17" s="4">
        <v>513184</v>
      </c>
      <c r="K17" s="4">
        <v>661484</v>
      </c>
      <c r="L17" s="4">
        <v>243272</v>
      </c>
      <c r="M17" s="4">
        <v>288820</v>
      </c>
      <c r="N17" s="4">
        <v>336944</v>
      </c>
      <c r="O17" s="4">
        <v>244556</v>
      </c>
      <c r="P17" s="4">
        <v>246064</v>
      </c>
      <c r="Q17" s="4">
        <v>251836</v>
      </c>
      <c r="R17" s="4">
        <v>247004</v>
      </c>
      <c r="S17" s="4"/>
      <c r="T17" s="4">
        <v>223796</v>
      </c>
      <c r="U17" s="4"/>
      <c r="V17" s="4">
        <v>269516</v>
      </c>
      <c r="W17" s="4">
        <v>264472</v>
      </c>
      <c r="X17" s="4"/>
      <c r="Y17" s="5">
        <f t="shared" si="1"/>
        <v>6127536</v>
      </c>
      <c r="Z17" s="3"/>
    </row>
    <row r="18" spans="1:26" ht="27.95" customHeight="1">
      <c r="A18" s="1" t="s">
        <v>41</v>
      </c>
      <c r="B18" s="2" t="s">
        <v>143</v>
      </c>
      <c r="C18" s="2" t="s">
        <v>17</v>
      </c>
      <c r="D18" s="14" t="s">
        <v>11</v>
      </c>
      <c r="E18" s="19">
        <f>E61*500*12</f>
        <v>1614000</v>
      </c>
      <c r="F18" s="19">
        <f t="shared" ref="F18:X18" si="11">F61*500*12</f>
        <v>552000</v>
      </c>
      <c r="G18" s="19">
        <f t="shared" si="11"/>
        <v>456000</v>
      </c>
      <c r="H18" s="19">
        <f t="shared" si="11"/>
        <v>600000</v>
      </c>
      <c r="I18" s="19">
        <f t="shared" si="11"/>
        <v>2136000</v>
      </c>
      <c r="J18" s="19">
        <f t="shared" si="11"/>
        <v>360000</v>
      </c>
      <c r="K18" s="19">
        <f t="shared" si="11"/>
        <v>804000</v>
      </c>
      <c r="L18" s="19">
        <f t="shared" si="11"/>
        <v>342000</v>
      </c>
      <c r="M18" s="19">
        <f t="shared" si="11"/>
        <v>768000</v>
      </c>
      <c r="N18" s="19">
        <f t="shared" si="11"/>
        <v>588000</v>
      </c>
      <c r="O18" s="19">
        <f t="shared" si="11"/>
        <v>264000</v>
      </c>
      <c r="P18" s="19">
        <f t="shared" si="11"/>
        <v>288000</v>
      </c>
      <c r="Q18" s="19">
        <f t="shared" si="11"/>
        <v>174000</v>
      </c>
      <c r="R18" s="19">
        <f t="shared" si="11"/>
        <v>252000</v>
      </c>
      <c r="S18" s="19">
        <f t="shared" si="11"/>
        <v>132000</v>
      </c>
      <c r="T18" s="19">
        <f t="shared" si="11"/>
        <v>114000</v>
      </c>
      <c r="U18" s="19">
        <f t="shared" si="11"/>
        <v>468000</v>
      </c>
      <c r="V18" s="19">
        <f t="shared" si="11"/>
        <v>60000</v>
      </c>
      <c r="W18" s="19">
        <f t="shared" si="11"/>
        <v>498000</v>
      </c>
      <c r="X18" s="19">
        <f t="shared" si="11"/>
        <v>42000</v>
      </c>
      <c r="Y18" s="5">
        <f t="shared" si="1"/>
        <v>10512000</v>
      </c>
      <c r="Z18" s="3"/>
    </row>
    <row r="19" spans="1:26" ht="27.95" customHeight="1">
      <c r="A19" s="1" t="s">
        <v>42</v>
      </c>
      <c r="B19" s="2" t="s">
        <v>144</v>
      </c>
      <c r="C19" s="2" t="s">
        <v>17</v>
      </c>
      <c r="D19" s="14" t="s">
        <v>18</v>
      </c>
      <c r="E19" s="4">
        <f>10000*E61</f>
        <v>2690000</v>
      </c>
      <c r="F19" s="4">
        <f t="shared" ref="F19:M19" si="12">10000*F61</f>
        <v>920000</v>
      </c>
      <c r="G19" s="4">
        <f t="shared" si="12"/>
        <v>760000</v>
      </c>
      <c r="H19" s="4">
        <f t="shared" si="12"/>
        <v>1000000</v>
      </c>
      <c r="I19" s="4">
        <f t="shared" si="12"/>
        <v>3560000</v>
      </c>
      <c r="J19" s="4">
        <f t="shared" si="12"/>
        <v>600000</v>
      </c>
      <c r="K19" s="4">
        <f t="shared" si="12"/>
        <v>1340000</v>
      </c>
      <c r="L19" s="4">
        <f t="shared" si="12"/>
        <v>570000</v>
      </c>
      <c r="M19" s="4">
        <f t="shared" si="12"/>
        <v>1280000</v>
      </c>
      <c r="N19" s="4"/>
      <c r="O19" s="4"/>
      <c r="P19" s="4"/>
      <c r="Q19" s="4"/>
      <c r="R19" s="4"/>
      <c r="S19" s="4"/>
      <c r="T19" s="4"/>
      <c r="U19" s="4"/>
      <c r="V19" s="4"/>
      <c r="W19" s="4">
        <f>10000*W61</f>
        <v>830000</v>
      </c>
      <c r="X19" s="4"/>
      <c r="Y19" s="5">
        <f t="shared" si="1"/>
        <v>13550000</v>
      </c>
      <c r="Z19" s="3"/>
    </row>
    <row r="20" spans="1:26" ht="27.95" customHeight="1">
      <c r="A20" s="1" t="s">
        <v>43</v>
      </c>
      <c r="B20" s="7" t="s">
        <v>44</v>
      </c>
      <c r="C20" s="7"/>
      <c r="D20" s="3" t="s">
        <v>11</v>
      </c>
      <c r="E20" s="19">
        <f>E21+E22</f>
        <v>10297584</v>
      </c>
      <c r="F20" s="19">
        <f t="shared" ref="F20:X20" si="13">F21+F22</f>
        <v>3223608</v>
      </c>
      <c r="G20" s="19">
        <f t="shared" si="13"/>
        <v>2611823.9900000002</v>
      </c>
      <c r="H20" s="19">
        <f t="shared" si="13"/>
        <v>3500399.99</v>
      </c>
      <c r="I20" s="19">
        <f t="shared" si="13"/>
        <v>11498136.01</v>
      </c>
      <c r="J20" s="19">
        <f t="shared" si="13"/>
        <v>1986168.0099999998</v>
      </c>
      <c r="K20" s="19">
        <f t="shared" si="13"/>
        <v>4454424.01</v>
      </c>
      <c r="L20" s="19">
        <f t="shared" si="13"/>
        <v>1952664</v>
      </c>
      <c r="M20" s="19">
        <f t="shared" si="13"/>
        <v>4305287.99</v>
      </c>
      <c r="N20" s="19">
        <f t="shared" si="13"/>
        <v>2985576.01</v>
      </c>
      <c r="O20" s="19">
        <f t="shared" si="13"/>
        <v>1336008.01</v>
      </c>
      <c r="P20" s="19">
        <f t="shared" si="13"/>
        <v>1373495.99</v>
      </c>
      <c r="Q20" s="19">
        <f t="shared" si="13"/>
        <v>914328.01</v>
      </c>
      <c r="R20" s="19">
        <f t="shared" si="13"/>
        <v>1276152</v>
      </c>
      <c r="S20" s="19">
        <f t="shared" si="13"/>
        <v>585552.01</v>
      </c>
      <c r="T20" s="19">
        <f t="shared" si="13"/>
        <v>554351.99</v>
      </c>
      <c r="U20" s="19">
        <f t="shared" si="13"/>
        <v>2462135.9900000002</v>
      </c>
      <c r="V20" s="19">
        <f t="shared" si="13"/>
        <v>273336</v>
      </c>
      <c r="W20" s="19">
        <f t="shared" si="13"/>
        <v>2446560</v>
      </c>
      <c r="X20" s="19">
        <f t="shared" si="13"/>
        <v>259368</v>
      </c>
      <c r="Y20" s="5">
        <f t="shared" si="1"/>
        <v>58296960.009999998</v>
      </c>
      <c r="Z20" s="3"/>
    </row>
    <row r="21" spans="1:26" ht="27.95" customHeight="1">
      <c r="A21" s="1" t="s">
        <v>45</v>
      </c>
      <c r="B21" s="7" t="s">
        <v>145</v>
      </c>
      <c r="C21" s="7" t="s">
        <v>46</v>
      </c>
      <c r="D21" s="3" t="s">
        <v>11</v>
      </c>
      <c r="E21" s="19">
        <f>ROUND(E29/0.07*0.1,2)</f>
        <v>7355417.1399999997</v>
      </c>
      <c r="F21" s="19">
        <f t="shared" ref="F21:X21" si="14">ROUND(F29/0.07*0.1,2)</f>
        <v>2302577.14</v>
      </c>
      <c r="G21" s="19">
        <f t="shared" si="14"/>
        <v>1865588.57</v>
      </c>
      <c r="H21" s="19">
        <f t="shared" si="14"/>
        <v>2500285.71</v>
      </c>
      <c r="I21" s="19">
        <f t="shared" si="14"/>
        <v>8212954.29</v>
      </c>
      <c r="J21" s="19">
        <f t="shared" si="14"/>
        <v>1418691.43</v>
      </c>
      <c r="K21" s="19">
        <f t="shared" si="14"/>
        <v>3181731.43</v>
      </c>
      <c r="L21" s="19">
        <f t="shared" si="14"/>
        <v>1394760</v>
      </c>
      <c r="M21" s="19">
        <f t="shared" si="14"/>
        <v>3075205.71</v>
      </c>
      <c r="N21" s="19">
        <f t="shared" si="14"/>
        <v>2132554.29</v>
      </c>
      <c r="O21" s="19">
        <f t="shared" si="14"/>
        <v>954291.43</v>
      </c>
      <c r="P21" s="19">
        <f t="shared" si="14"/>
        <v>981068.57</v>
      </c>
      <c r="Q21" s="19">
        <f t="shared" si="14"/>
        <v>653091.43000000005</v>
      </c>
      <c r="R21" s="19">
        <f t="shared" si="14"/>
        <v>911537.14</v>
      </c>
      <c r="S21" s="19">
        <f t="shared" si="14"/>
        <v>418251.43</v>
      </c>
      <c r="T21" s="19">
        <f t="shared" si="14"/>
        <v>395965.71</v>
      </c>
      <c r="U21" s="19">
        <f t="shared" si="14"/>
        <v>1758668.57</v>
      </c>
      <c r="V21" s="19">
        <f t="shared" si="14"/>
        <v>195240</v>
      </c>
      <c r="W21" s="19">
        <f t="shared" si="14"/>
        <v>1747542.86</v>
      </c>
      <c r="X21" s="19">
        <f t="shared" si="14"/>
        <v>185262.86</v>
      </c>
      <c r="Y21" s="5">
        <f t="shared" si="1"/>
        <v>41640685.710000001</v>
      </c>
      <c r="Z21" s="3"/>
    </row>
    <row r="22" spans="1:26" ht="27.95" customHeight="1">
      <c r="A22" s="1" t="s">
        <v>47</v>
      </c>
      <c r="B22" s="7" t="s">
        <v>146</v>
      </c>
      <c r="C22" s="7" t="s">
        <v>46</v>
      </c>
      <c r="D22" s="3" t="s">
        <v>32</v>
      </c>
      <c r="E22" s="19">
        <f>E23+E24</f>
        <v>2942166.86</v>
      </c>
      <c r="F22" s="19">
        <f t="shared" ref="F22:X22" si="15">F23+F24</f>
        <v>921030.86</v>
      </c>
      <c r="G22" s="19">
        <f t="shared" si="15"/>
        <v>746235.42</v>
      </c>
      <c r="H22" s="19">
        <f t="shared" si="15"/>
        <v>1000114.28</v>
      </c>
      <c r="I22" s="19">
        <f t="shared" si="15"/>
        <v>3285181.72</v>
      </c>
      <c r="J22" s="19">
        <f t="shared" si="15"/>
        <v>567476.57999999996</v>
      </c>
      <c r="K22" s="19">
        <f t="shared" si="15"/>
        <v>1272692.58</v>
      </c>
      <c r="L22" s="19">
        <f t="shared" si="15"/>
        <v>557904</v>
      </c>
      <c r="M22" s="19">
        <f t="shared" si="15"/>
        <v>1230082.28</v>
      </c>
      <c r="N22" s="19">
        <f t="shared" si="15"/>
        <v>853021.72</v>
      </c>
      <c r="O22" s="19">
        <f t="shared" si="15"/>
        <v>381716.58</v>
      </c>
      <c r="P22" s="19">
        <f t="shared" si="15"/>
        <v>392427.42</v>
      </c>
      <c r="Q22" s="19">
        <f t="shared" si="15"/>
        <v>261236.58</v>
      </c>
      <c r="R22" s="19">
        <f t="shared" si="15"/>
        <v>364614.86</v>
      </c>
      <c r="S22" s="19">
        <f t="shared" si="15"/>
        <v>167300.57999999999</v>
      </c>
      <c r="T22" s="19">
        <f t="shared" si="15"/>
        <v>158386.28</v>
      </c>
      <c r="U22" s="19">
        <f t="shared" si="15"/>
        <v>703467.42</v>
      </c>
      <c r="V22" s="19">
        <f t="shared" si="15"/>
        <v>78096</v>
      </c>
      <c r="W22" s="19">
        <f t="shared" si="15"/>
        <v>699017.14</v>
      </c>
      <c r="X22" s="19">
        <f t="shared" si="15"/>
        <v>74105.14</v>
      </c>
      <c r="Y22" s="5">
        <f t="shared" si="1"/>
        <v>16656274.300000001</v>
      </c>
      <c r="Z22" s="3"/>
    </row>
    <row r="23" spans="1:26" ht="27.95" customHeight="1">
      <c r="A23" s="1" t="s">
        <v>48</v>
      </c>
      <c r="B23" s="7" t="s">
        <v>49</v>
      </c>
      <c r="C23" s="7" t="s">
        <v>46</v>
      </c>
      <c r="D23" s="3" t="s">
        <v>32</v>
      </c>
      <c r="E23" s="19">
        <f>ROUND(E29/0.07*0.02,2)</f>
        <v>1471083.43</v>
      </c>
      <c r="F23" s="19">
        <f t="shared" ref="F23:X23" si="16">ROUND(F29/0.07*0.02,2)</f>
        <v>460515.43</v>
      </c>
      <c r="G23" s="19">
        <f t="shared" si="16"/>
        <v>373117.71</v>
      </c>
      <c r="H23" s="19">
        <f t="shared" si="16"/>
        <v>500057.14</v>
      </c>
      <c r="I23" s="19">
        <f t="shared" si="16"/>
        <v>1642590.86</v>
      </c>
      <c r="J23" s="19">
        <f t="shared" si="16"/>
        <v>283738.28999999998</v>
      </c>
      <c r="K23" s="19">
        <f t="shared" si="16"/>
        <v>636346.29</v>
      </c>
      <c r="L23" s="19">
        <f t="shared" si="16"/>
        <v>278952</v>
      </c>
      <c r="M23" s="19">
        <f t="shared" si="16"/>
        <v>615041.14</v>
      </c>
      <c r="N23" s="19">
        <f t="shared" si="16"/>
        <v>426510.86</v>
      </c>
      <c r="O23" s="19">
        <f t="shared" si="16"/>
        <v>190858.29</v>
      </c>
      <c r="P23" s="19">
        <f t="shared" si="16"/>
        <v>196213.71</v>
      </c>
      <c r="Q23" s="19">
        <f t="shared" si="16"/>
        <v>130618.29</v>
      </c>
      <c r="R23" s="19">
        <f t="shared" si="16"/>
        <v>182307.43</v>
      </c>
      <c r="S23" s="19">
        <f t="shared" si="16"/>
        <v>83650.289999999994</v>
      </c>
      <c r="T23" s="19">
        <f t="shared" si="16"/>
        <v>79193.14</v>
      </c>
      <c r="U23" s="19">
        <f t="shared" si="16"/>
        <v>351733.71</v>
      </c>
      <c r="V23" s="19">
        <f t="shared" si="16"/>
        <v>39048</v>
      </c>
      <c r="W23" s="19">
        <f t="shared" si="16"/>
        <v>349508.57</v>
      </c>
      <c r="X23" s="19">
        <f t="shared" si="16"/>
        <v>37052.57</v>
      </c>
      <c r="Y23" s="5">
        <f t="shared" si="1"/>
        <v>8328137.1500000004</v>
      </c>
      <c r="Z23" s="3"/>
    </row>
    <row r="24" spans="1:26" ht="27.95" customHeight="1">
      <c r="A24" s="1" t="s">
        <v>50</v>
      </c>
      <c r="B24" s="7" t="s">
        <v>51</v>
      </c>
      <c r="C24" s="7" t="s">
        <v>46</v>
      </c>
      <c r="D24" s="3" t="s">
        <v>32</v>
      </c>
      <c r="E24" s="19">
        <f>ROUND(E29/0.07*0.02,2)</f>
        <v>1471083.43</v>
      </c>
      <c r="F24" s="19">
        <f t="shared" ref="F24:X24" si="17">ROUND(F29/0.07*0.02,2)</f>
        <v>460515.43</v>
      </c>
      <c r="G24" s="19">
        <f t="shared" si="17"/>
        <v>373117.71</v>
      </c>
      <c r="H24" s="19">
        <f t="shared" si="17"/>
        <v>500057.14</v>
      </c>
      <c r="I24" s="19">
        <f t="shared" si="17"/>
        <v>1642590.86</v>
      </c>
      <c r="J24" s="19">
        <f t="shared" si="17"/>
        <v>283738.28999999998</v>
      </c>
      <c r="K24" s="19">
        <f t="shared" si="17"/>
        <v>636346.29</v>
      </c>
      <c r="L24" s="19">
        <f t="shared" si="17"/>
        <v>278952</v>
      </c>
      <c r="M24" s="19">
        <f t="shared" si="17"/>
        <v>615041.14</v>
      </c>
      <c r="N24" s="19">
        <f t="shared" si="17"/>
        <v>426510.86</v>
      </c>
      <c r="O24" s="19">
        <f t="shared" si="17"/>
        <v>190858.29</v>
      </c>
      <c r="P24" s="19">
        <f t="shared" si="17"/>
        <v>196213.71</v>
      </c>
      <c r="Q24" s="19">
        <f t="shared" si="17"/>
        <v>130618.29</v>
      </c>
      <c r="R24" s="19">
        <f t="shared" si="17"/>
        <v>182307.43</v>
      </c>
      <c r="S24" s="19">
        <f t="shared" si="17"/>
        <v>83650.289999999994</v>
      </c>
      <c r="T24" s="19">
        <f t="shared" si="17"/>
        <v>79193.14</v>
      </c>
      <c r="U24" s="19">
        <f t="shared" si="17"/>
        <v>351733.71</v>
      </c>
      <c r="V24" s="19">
        <f t="shared" si="17"/>
        <v>39048</v>
      </c>
      <c r="W24" s="19">
        <f t="shared" si="17"/>
        <v>349508.57</v>
      </c>
      <c r="X24" s="19">
        <f t="shared" si="17"/>
        <v>37052.57</v>
      </c>
      <c r="Y24" s="5">
        <f t="shared" si="1"/>
        <v>8328137.1500000004</v>
      </c>
      <c r="Z24" s="3"/>
    </row>
    <row r="25" spans="1:26" ht="27.95" customHeight="1">
      <c r="A25" s="1" t="s">
        <v>52</v>
      </c>
      <c r="B25" s="7" t="s">
        <v>53</v>
      </c>
      <c r="C25" s="7"/>
      <c r="D25" s="14" t="s">
        <v>11</v>
      </c>
      <c r="E25" s="5">
        <f t="shared" ref="E25:X25" si="18">E26</f>
        <v>11768667.43</v>
      </c>
      <c r="F25" s="5">
        <f t="shared" si="18"/>
        <v>3684123.43</v>
      </c>
      <c r="G25" s="5">
        <f t="shared" si="18"/>
        <v>2984941.71</v>
      </c>
      <c r="H25" s="5">
        <f t="shared" si="18"/>
        <v>4000457.14</v>
      </c>
      <c r="I25" s="5">
        <f t="shared" si="18"/>
        <v>13140726.859999999</v>
      </c>
      <c r="J25" s="5">
        <f t="shared" si="18"/>
        <v>2269906.29</v>
      </c>
      <c r="K25" s="5">
        <f t="shared" si="18"/>
        <v>5090770.29</v>
      </c>
      <c r="L25" s="5">
        <f t="shared" si="18"/>
        <v>2231616</v>
      </c>
      <c r="M25" s="5">
        <f t="shared" si="18"/>
        <v>4920329.1399999997</v>
      </c>
      <c r="N25" s="5">
        <f t="shared" si="18"/>
        <v>3412086.86</v>
      </c>
      <c r="O25" s="5">
        <f t="shared" si="18"/>
        <v>1526866.29</v>
      </c>
      <c r="P25" s="5">
        <f t="shared" si="18"/>
        <v>1569709.71</v>
      </c>
      <c r="Q25" s="5">
        <f t="shared" si="18"/>
        <v>1044946.29</v>
      </c>
      <c r="R25" s="5">
        <f t="shared" si="18"/>
        <v>1458459.43</v>
      </c>
      <c r="S25" s="5">
        <f t="shared" si="18"/>
        <v>669202.29</v>
      </c>
      <c r="T25" s="5">
        <f t="shared" si="18"/>
        <v>633545.14</v>
      </c>
      <c r="U25" s="5">
        <f t="shared" si="18"/>
        <v>2813869.71</v>
      </c>
      <c r="V25" s="5">
        <f t="shared" si="18"/>
        <v>312384</v>
      </c>
      <c r="W25" s="5">
        <f t="shared" si="18"/>
        <v>2796068.57</v>
      </c>
      <c r="X25" s="5">
        <f t="shared" si="18"/>
        <v>296420.57</v>
      </c>
      <c r="Y25" s="5">
        <f t="shared" si="1"/>
        <v>66625097.149999999</v>
      </c>
      <c r="Z25" s="9"/>
    </row>
    <row r="26" spans="1:26" s="13" customFormat="1" ht="27.95" customHeight="1">
      <c r="A26" s="1" t="s">
        <v>54</v>
      </c>
      <c r="B26" s="12" t="s">
        <v>147</v>
      </c>
      <c r="C26" s="12" t="s">
        <v>55</v>
      </c>
      <c r="D26" s="9" t="s">
        <v>32</v>
      </c>
      <c r="E26" s="5">
        <f>ROUND(E29/0.07*0.16,2)</f>
        <v>11768667.43</v>
      </c>
      <c r="F26" s="5">
        <f t="shared" ref="F26:X26" si="19">ROUND(F29/0.07*0.16,2)</f>
        <v>3684123.43</v>
      </c>
      <c r="G26" s="5">
        <f t="shared" si="19"/>
        <v>2984941.71</v>
      </c>
      <c r="H26" s="5">
        <f t="shared" si="19"/>
        <v>4000457.14</v>
      </c>
      <c r="I26" s="5">
        <f t="shared" si="19"/>
        <v>13140726.859999999</v>
      </c>
      <c r="J26" s="5">
        <f t="shared" si="19"/>
        <v>2269906.29</v>
      </c>
      <c r="K26" s="5">
        <f t="shared" si="19"/>
        <v>5090770.29</v>
      </c>
      <c r="L26" s="5">
        <f t="shared" si="19"/>
        <v>2231616</v>
      </c>
      <c r="M26" s="5">
        <f t="shared" si="19"/>
        <v>4920329.1399999997</v>
      </c>
      <c r="N26" s="5">
        <f t="shared" si="19"/>
        <v>3412086.86</v>
      </c>
      <c r="O26" s="5">
        <f t="shared" si="19"/>
        <v>1526866.29</v>
      </c>
      <c r="P26" s="5">
        <f t="shared" si="19"/>
        <v>1569709.71</v>
      </c>
      <c r="Q26" s="5">
        <f t="shared" si="19"/>
        <v>1044946.29</v>
      </c>
      <c r="R26" s="5">
        <f t="shared" si="19"/>
        <v>1458459.43</v>
      </c>
      <c r="S26" s="5">
        <f t="shared" si="19"/>
        <v>669202.29</v>
      </c>
      <c r="T26" s="5">
        <f t="shared" si="19"/>
        <v>633545.14</v>
      </c>
      <c r="U26" s="5">
        <f t="shared" si="19"/>
        <v>2813869.71</v>
      </c>
      <c r="V26" s="5">
        <f t="shared" si="19"/>
        <v>312384</v>
      </c>
      <c r="W26" s="5">
        <f t="shared" si="19"/>
        <v>2796068.57</v>
      </c>
      <c r="X26" s="5">
        <f t="shared" si="19"/>
        <v>296420.57</v>
      </c>
      <c r="Y26" s="5">
        <f t="shared" si="1"/>
        <v>66625097.149999999</v>
      </c>
      <c r="Z26" s="9"/>
    </row>
    <row r="27" spans="1:26" ht="27.95" customHeight="1">
      <c r="A27" s="1" t="s">
        <v>56</v>
      </c>
      <c r="B27" s="7" t="s">
        <v>57</v>
      </c>
      <c r="C27" s="7"/>
      <c r="D27" s="14" t="s">
        <v>11</v>
      </c>
      <c r="E27" s="5">
        <f t="shared" ref="E27:X27" si="20">E28</f>
        <v>5884333.71</v>
      </c>
      <c r="F27" s="5">
        <f t="shared" si="20"/>
        <v>1842061.71</v>
      </c>
      <c r="G27" s="5">
        <f t="shared" si="20"/>
        <v>1492470.86</v>
      </c>
      <c r="H27" s="5">
        <f t="shared" si="20"/>
        <v>2000228.57</v>
      </c>
      <c r="I27" s="5">
        <f t="shared" si="20"/>
        <v>6570363.4299999997</v>
      </c>
      <c r="J27" s="5">
        <f t="shared" si="20"/>
        <v>1134953.1399999999</v>
      </c>
      <c r="K27" s="5">
        <f t="shared" si="20"/>
        <v>2545385.14</v>
      </c>
      <c r="L27" s="5">
        <f t="shared" si="20"/>
        <v>1115808</v>
      </c>
      <c r="M27" s="5">
        <f t="shared" si="20"/>
        <v>2460164.5699999998</v>
      </c>
      <c r="N27" s="5">
        <f t="shared" si="20"/>
        <v>1706043.43</v>
      </c>
      <c r="O27" s="5">
        <f t="shared" si="20"/>
        <v>763433.14</v>
      </c>
      <c r="P27" s="5">
        <f t="shared" si="20"/>
        <v>784854.86</v>
      </c>
      <c r="Q27" s="5">
        <f t="shared" si="20"/>
        <v>522473.14</v>
      </c>
      <c r="R27" s="5">
        <f t="shared" si="20"/>
        <v>729229.71</v>
      </c>
      <c r="S27" s="5">
        <f t="shared" si="20"/>
        <v>334601.14</v>
      </c>
      <c r="T27" s="5">
        <f t="shared" si="20"/>
        <v>316772.57</v>
      </c>
      <c r="U27" s="5">
        <f t="shared" si="20"/>
        <v>1406934.86</v>
      </c>
      <c r="V27" s="5">
        <f t="shared" si="20"/>
        <v>156192</v>
      </c>
      <c r="W27" s="5">
        <f t="shared" si="20"/>
        <v>1398034.29</v>
      </c>
      <c r="X27" s="5">
        <f t="shared" si="20"/>
        <v>148210.29</v>
      </c>
      <c r="Y27" s="5">
        <f t="shared" si="1"/>
        <v>33312548.560000002</v>
      </c>
      <c r="Z27" s="9"/>
    </row>
    <row r="28" spans="1:26" s="13" customFormat="1" ht="27.95" customHeight="1">
      <c r="A28" s="1" t="s">
        <v>58</v>
      </c>
      <c r="B28" s="12" t="s">
        <v>59</v>
      </c>
      <c r="C28" s="12" t="s">
        <v>60</v>
      </c>
      <c r="D28" s="9" t="s">
        <v>32</v>
      </c>
      <c r="E28" s="5">
        <f>ROUND(E29/0.07*0.08,2)</f>
        <v>5884333.71</v>
      </c>
      <c r="F28" s="5">
        <f t="shared" ref="F28:X28" si="21">ROUND(F29/0.07*0.08,2)</f>
        <v>1842061.71</v>
      </c>
      <c r="G28" s="5">
        <f t="shared" si="21"/>
        <v>1492470.86</v>
      </c>
      <c r="H28" s="5">
        <f t="shared" si="21"/>
        <v>2000228.57</v>
      </c>
      <c r="I28" s="5">
        <f t="shared" si="21"/>
        <v>6570363.4299999997</v>
      </c>
      <c r="J28" s="5">
        <f t="shared" si="21"/>
        <v>1134953.1399999999</v>
      </c>
      <c r="K28" s="5">
        <f t="shared" si="21"/>
        <v>2545385.14</v>
      </c>
      <c r="L28" s="5">
        <f t="shared" si="21"/>
        <v>1115808</v>
      </c>
      <c r="M28" s="5">
        <f t="shared" si="21"/>
        <v>2460164.5699999998</v>
      </c>
      <c r="N28" s="5">
        <f t="shared" si="21"/>
        <v>1706043.43</v>
      </c>
      <c r="O28" s="5">
        <f t="shared" si="21"/>
        <v>763433.14</v>
      </c>
      <c r="P28" s="5">
        <f t="shared" si="21"/>
        <v>784854.86</v>
      </c>
      <c r="Q28" s="5">
        <f t="shared" si="21"/>
        <v>522473.14</v>
      </c>
      <c r="R28" s="5">
        <f t="shared" si="21"/>
        <v>729229.71</v>
      </c>
      <c r="S28" s="5">
        <f t="shared" si="21"/>
        <v>334601.14</v>
      </c>
      <c r="T28" s="5">
        <f t="shared" si="21"/>
        <v>316772.57</v>
      </c>
      <c r="U28" s="5">
        <f t="shared" si="21"/>
        <v>1406934.86</v>
      </c>
      <c r="V28" s="5">
        <f t="shared" si="21"/>
        <v>156192</v>
      </c>
      <c r="W28" s="5">
        <f t="shared" si="21"/>
        <v>1398034.29</v>
      </c>
      <c r="X28" s="5">
        <f t="shared" si="21"/>
        <v>148210.29</v>
      </c>
      <c r="Y28" s="5">
        <f t="shared" si="1"/>
        <v>33312548.560000002</v>
      </c>
      <c r="Z28" s="9"/>
    </row>
    <row r="29" spans="1:26" ht="27.95" customHeight="1">
      <c r="A29" s="1" t="s">
        <v>61</v>
      </c>
      <c r="B29" s="7" t="s">
        <v>148</v>
      </c>
      <c r="C29" s="7" t="s">
        <v>62</v>
      </c>
      <c r="D29" s="14" t="s">
        <v>149</v>
      </c>
      <c r="E29" s="4">
        <f>429066*12</f>
        <v>5148792</v>
      </c>
      <c r="F29" s="4">
        <f>134317*12</f>
        <v>1611804</v>
      </c>
      <c r="G29" s="4">
        <v>1305912</v>
      </c>
      <c r="H29" s="4">
        <f>145850*12</f>
        <v>1750200</v>
      </c>
      <c r="I29" s="4">
        <f>479089*12</f>
        <v>5749068</v>
      </c>
      <c r="J29" s="4">
        <v>993084</v>
      </c>
      <c r="K29" s="4">
        <f>185601*12</f>
        <v>2227212</v>
      </c>
      <c r="L29" s="4">
        <f>81361*12</f>
        <v>976332</v>
      </c>
      <c r="M29" s="4">
        <f>179387*12</f>
        <v>2152644</v>
      </c>
      <c r="N29" s="4">
        <f>124399*12</f>
        <v>1492788</v>
      </c>
      <c r="O29" s="4">
        <f>55667*12</f>
        <v>668004</v>
      </c>
      <c r="P29" s="4">
        <f>57229*12</f>
        <v>686748</v>
      </c>
      <c r="Q29" s="4">
        <f>38097*12</f>
        <v>457164</v>
      </c>
      <c r="R29" s="4">
        <f>53173*12</f>
        <v>638076</v>
      </c>
      <c r="S29" s="4">
        <f>24398*12</f>
        <v>292776</v>
      </c>
      <c r="T29" s="4">
        <f>23098*12</f>
        <v>277176</v>
      </c>
      <c r="U29" s="4">
        <f>102589*12</f>
        <v>1231068</v>
      </c>
      <c r="V29" s="4">
        <f>11389*12</f>
        <v>136668</v>
      </c>
      <c r="W29" s="4">
        <f>101940*12</f>
        <v>1223280</v>
      </c>
      <c r="X29" s="4">
        <v>129684</v>
      </c>
      <c r="Y29" s="5">
        <f t="shared" si="1"/>
        <v>29148480</v>
      </c>
      <c r="Z29" s="3"/>
    </row>
    <row r="30" spans="1:26" ht="27.95" customHeight="1">
      <c r="A30" s="1" t="s">
        <v>63</v>
      </c>
      <c r="B30" s="7" t="s">
        <v>150</v>
      </c>
      <c r="C30" s="2" t="s">
        <v>17</v>
      </c>
      <c r="D30" s="9" t="s">
        <v>151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>
        <f t="shared" si="1"/>
        <v>0</v>
      </c>
      <c r="Z30" s="3"/>
    </row>
    <row r="31" spans="1:26" ht="27.95" customHeight="1">
      <c r="A31" s="1" t="s">
        <v>64</v>
      </c>
      <c r="B31" s="7" t="s">
        <v>65</v>
      </c>
      <c r="C31" s="7"/>
      <c r="D31" s="14" t="s">
        <v>11</v>
      </c>
      <c r="E31" s="5">
        <f>E32+E34+E36</f>
        <v>2782184.2</v>
      </c>
      <c r="F31" s="5">
        <f t="shared" ref="F31:X31" si="22">F32+F34+F36</f>
        <v>955560</v>
      </c>
      <c r="G31" s="5">
        <f t="shared" si="22"/>
        <v>1156740</v>
      </c>
      <c r="H31" s="5">
        <f t="shared" si="22"/>
        <v>16920</v>
      </c>
      <c r="I31" s="5">
        <f t="shared" si="22"/>
        <v>1956360</v>
      </c>
      <c r="J31" s="5">
        <f t="shared" si="22"/>
        <v>586200</v>
      </c>
      <c r="K31" s="5">
        <f t="shared" si="22"/>
        <v>603180</v>
      </c>
      <c r="L31" s="5">
        <f t="shared" si="22"/>
        <v>430260</v>
      </c>
      <c r="M31" s="5">
        <f t="shared" si="22"/>
        <v>35460</v>
      </c>
      <c r="N31" s="5">
        <f t="shared" si="22"/>
        <v>787740</v>
      </c>
      <c r="O31" s="5">
        <f t="shared" si="22"/>
        <v>633120</v>
      </c>
      <c r="P31" s="5">
        <f t="shared" si="22"/>
        <v>29100</v>
      </c>
      <c r="Q31" s="5">
        <f t="shared" si="22"/>
        <v>2160</v>
      </c>
      <c r="R31" s="5">
        <f t="shared" si="22"/>
        <v>444720</v>
      </c>
      <c r="S31" s="5">
        <f t="shared" si="22"/>
        <v>2160</v>
      </c>
      <c r="T31" s="5">
        <f t="shared" si="22"/>
        <v>720</v>
      </c>
      <c r="U31" s="5">
        <f t="shared" si="22"/>
        <v>45180</v>
      </c>
      <c r="V31" s="5">
        <f t="shared" si="22"/>
        <v>1080</v>
      </c>
      <c r="W31" s="5">
        <f t="shared" si="22"/>
        <v>209700</v>
      </c>
      <c r="X31" s="5">
        <f t="shared" si="22"/>
        <v>156720</v>
      </c>
      <c r="Y31" s="5">
        <f t="shared" si="1"/>
        <v>10835264.199999999</v>
      </c>
      <c r="Z31" s="9"/>
    </row>
    <row r="32" spans="1:26" ht="27.95" customHeight="1">
      <c r="A32" s="1" t="s">
        <v>66</v>
      </c>
      <c r="B32" s="7" t="s">
        <v>152</v>
      </c>
      <c r="C32" s="7" t="s">
        <v>67</v>
      </c>
      <c r="D32" s="3" t="s">
        <v>153</v>
      </c>
      <c r="E32" s="19">
        <f>E33</f>
        <v>2719725</v>
      </c>
      <c r="F32" s="19">
        <f t="shared" ref="F32:X32" si="23">F33</f>
        <v>949080</v>
      </c>
      <c r="G32" s="19">
        <f t="shared" si="23"/>
        <v>1147020</v>
      </c>
      <c r="H32" s="19">
        <f t="shared" si="23"/>
        <v>11880</v>
      </c>
      <c r="I32" s="19">
        <f t="shared" si="23"/>
        <v>1937640</v>
      </c>
      <c r="J32" s="19">
        <f t="shared" si="23"/>
        <v>582600</v>
      </c>
      <c r="K32" s="19">
        <f t="shared" si="23"/>
        <v>599220</v>
      </c>
      <c r="L32" s="19">
        <f t="shared" si="23"/>
        <v>428100</v>
      </c>
      <c r="M32" s="19">
        <f t="shared" si="23"/>
        <v>31860</v>
      </c>
      <c r="N32" s="19">
        <f t="shared" si="23"/>
        <v>780900</v>
      </c>
      <c r="O32" s="19">
        <f t="shared" si="23"/>
        <v>630240</v>
      </c>
      <c r="P32" s="19">
        <f t="shared" si="23"/>
        <v>25860</v>
      </c>
      <c r="Q32" s="19">
        <f t="shared" si="23"/>
        <v>0</v>
      </c>
      <c r="R32" s="19">
        <f t="shared" si="23"/>
        <v>438960</v>
      </c>
      <c r="S32" s="19">
        <f t="shared" si="23"/>
        <v>0</v>
      </c>
      <c r="T32" s="19">
        <f t="shared" si="23"/>
        <v>0</v>
      </c>
      <c r="U32" s="19">
        <f t="shared" si="23"/>
        <v>39060</v>
      </c>
      <c r="V32" s="19">
        <f t="shared" si="23"/>
        <v>0</v>
      </c>
      <c r="W32" s="19">
        <f t="shared" si="23"/>
        <v>207900</v>
      </c>
      <c r="X32" s="19">
        <f t="shared" si="23"/>
        <v>156360</v>
      </c>
      <c r="Y32" s="5">
        <f t="shared" si="1"/>
        <v>10686405</v>
      </c>
      <c r="Z32" s="3"/>
    </row>
    <row r="33" spans="1:26" ht="27.95" customHeight="1">
      <c r="A33" s="1" t="s">
        <v>68</v>
      </c>
      <c r="B33" s="7" t="s">
        <v>154</v>
      </c>
      <c r="C33" s="7" t="s">
        <v>67</v>
      </c>
      <c r="D33" s="3" t="s">
        <v>153</v>
      </c>
      <c r="E33" s="8">
        <v>2719725</v>
      </c>
      <c r="F33" s="8">
        <f>79090*12</f>
        <v>949080</v>
      </c>
      <c r="G33" s="8">
        <v>1147020</v>
      </c>
      <c r="H33" s="8">
        <f>990*12</f>
        <v>11880</v>
      </c>
      <c r="I33" s="8">
        <f>161470*12</f>
        <v>1937640</v>
      </c>
      <c r="J33" s="8">
        <v>582600</v>
      </c>
      <c r="K33" s="8">
        <f>49935*12</f>
        <v>599220</v>
      </c>
      <c r="L33" s="8">
        <v>428100</v>
      </c>
      <c r="M33" s="8">
        <f>2655*12</f>
        <v>31860</v>
      </c>
      <c r="N33" s="8">
        <v>780900</v>
      </c>
      <c r="O33" s="8">
        <f>52520*12</f>
        <v>630240</v>
      </c>
      <c r="P33" s="8">
        <f>2155*12</f>
        <v>25860</v>
      </c>
      <c r="Q33" s="8"/>
      <c r="R33" s="8">
        <f>36580*12</f>
        <v>438960</v>
      </c>
      <c r="S33" s="8"/>
      <c r="T33" s="8"/>
      <c r="U33" s="8">
        <v>39060</v>
      </c>
      <c r="V33" s="8"/>
      <c r="W33" s="8">
        <f>17325*12</f>
        <v>207900</v>
      </c>
      <c r="X33" s="8">
        <v>156360</v>
      </c>
      <c r="Y33" s="5">
        <f t="shared" si="1"/>
        <v>10686405</v>
      </c>
      <c r="Z33" s="9"/>
    </row>
    <row r="34" spans="1:26" ht="27.95" customHeight="1">
      <c r="A34" s="1" t="s">
        <v>69</v>
      </c>
      <c r="B34" s="7" t="s">
        <v>70</v>
      </c>
      <c r="C34" s="7"/>
      <c r="D34" s="14" t="s">
        <v>11</v>
      </c>
      <c r="E34" s="5">
        <f>E35</f>
        <v>17640</v>
      </c>
      <c r="F34" s="5">
        <f t="shared" ref="F34:X34" si="24">F35</f>
        <v>6480</v>
      </c>
      <c r="G34" s="5">
        <f t="shared" si="24"/>
        <v>9720</v>
      </c>
      <c r="H34" s="5">
        <f t="shared" si="24"/>
        <v>5040</v>
      </c>
      <c r="I34" s="5">
        <f t="shared" si="24"/>
        <v>18720</v>
      </c>
      <c r="J34" s="5">
        <f t="shared" si="24"/>
        <v>3600</v>
      </c>
      <c r="K34" s="5">
        <f t="shared" si="24"/>
        <v>3960</v>
      </c>
      <c r="L34" s="5">
        <f t="shared" si="24"/>
        <v>2160</v>
      </c>
      <c r="M34" s="5">
        <f t="shared" si="24"/>
        <v>3600</v>
      </c>
      <c r="N34" s="5">
        <f t="shared" si="24"/>
        <v>6840</v>
      </c>
      <c r="O34" s="5">
        <f t="shared" si="24"/>
        <v>2880</v>
      </c>
      <c r="P34" s="5">
        <f t="shared" si="24"/>
        <v>3240</v>
      </c>
      <c r="Q34" s="5">
        <f t="shared" si="24"/>
        <v>2160</v>
      </c>
      <c r="R34" s="5">
        <f t="shared" si="24"/>
        <v>5760</v>
      </c>
      <c r="S34" s="5">
        <f t="shared" si="24"/>
        <v>2160</v>
      </c>
      <c r="T34" s="5">
        <f t="shared" si="24"/>
        <v>720</v>
      </c>
      <c r="U34" s="5">
        <f t="shared" si="24"/>
        <v>6120</v>
      </c>
      <c r="V34" s="5">
        <f t="shared" si="24"/>
        <v>1080</v>
      </c>
      <c r="W34" s="5">
        <f t="shared" si="24"/>
        <v>1800</v>
      </c>
      <c r="X34" s="5">
        <f t="shared" si="24"/>
        <v>360</v>
      </c>
      <c r="Y34" s="5">
        <f t="shared" si="1"/>
        <v>104040</v>
      </c>
      <c r="Z34" s="9"/>
    </row>
    <row r="35" spans="1:26" ht="27.95" customHeight="1">
      <c r="A35" s="1" t="s">
        <v>71</v>
      </c>
      <c r="B35" s="7" t="s">
        <v>72</v>
      </c>
      <c r="C35" s="7" t="s">
        <v>17</v>
      </c>
      <c r="D35" s="14" t="s">
        <v>18</v>
      </c>
      <c r="E35" s="8">
        <f>1470*12</f>
        <v>17640</v>
      </c>
      <c r="F35" s="8">
        <f>540*12</f>
        <v>6480</v>
      </c>
      <c r="G35" s="8">
        <v>9720</v>
      </c>
      <c r="H35" s="8">
        <f>420*12</f>
        <v>5040</v>
      </c>
      <c r="I35" s="8">
        <f>1560*12</f>
        <v>18720</v>
      </c>
      <c r="J35" s="8">
        <v>3600</v>
      </c>
      <c r="K35" s="8">
        <f>330*12</f>
        <v>3960</v>
      </c>
      <c r="L35" s="8">
        <f>180*12</f>
        <v>2160</v>
      </c>
      <c r="M35" s="8">
        <f>300*12</f>
        <v>3600</v>
      </c>
      <c r="N35" s="8">
        <f>570*12</f>
        <v>6840</v>
      </c>
      <c r="O35" s="8">
        <f>240*12</f>
        <v>2880</v>
      </c>
      <c r="P35" s="8">
        <f>270*12</f>
        <v>3240</v>
      </c>
      <c r="Q35" s="8">
        <v>2160</v>
      </c>
      <c r="R35" s="8">
        <f>480*12</f>
        <v>5760</v>
      </c>
      <c r="S35" s="8">
        <f>180*12</f>
        <v>2160</v>
      </c>
      <c r="T35" s="8">
        <f>60*12</f>
        <v>720</v>
      </c>
      <c r="U35" s="8">
        <f>510*12</f>
        <v>6120</v>
      </c>
      <c r="V35" s="8">
        <f>90*12</f>
        <v>1080</v>
      </c>
      <c r="W35" s="8">
        <f>150*12</f>
        <v>1800</v>
      </c>
      <c r="X35" s="8">
        <v>360</v>
      </c>
      <c r="Y35" s="5">
        <f t="shared" si="1"/>
        <v>104040</v>
      </c>
      <c r="Z35" s="9"/>
    </row>
    <row r="36" spans="1:26" ht="27.95" customHeight="1">
      <c r="A36" s="1" t="s">
        <v>73</v>
      </c>
      <c r="B36" s="7" t="s">
        <v>74</v>
      </c>
      <c r="C36" s="7"/>
      <c r="D36" s="14" t="s">
        <v>11</v>
      </c>
      <c r="E36" s="5">
        <f>E37</f>
        <v>44819.199999999997</v>
      </c>
      <c r="F36" s="5">
        <f t="shared" ref="F36:X36" si="25">F37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  <c r="K36" s="5">
        <f t="shared" si="25"/>
        <v>0</v>
      </c>
      <c r="L36" s="5">
        <f t="shared" si="25"/>
        <v>0</v>
      </c>
      <c r="M36" s="5">
        <f t="shared" si="25"/>
        <v>0</v>
      </c>
      <c r="N36" s="5">
        <f t="shared" si="25"/>
        <v>0</v>
      </c>
      <c r="O36" s="5">
        <f t="shared" si="25"/>
        <v>0</v>
      </c>
      <c r="P36" s="5">
        <f t="shared" si="25"/>
        <v>0</v>
      </c>
      <c r="Q36" s="5">
        <f t="shared" si="25"/>
        <v>0</v>
      </c>
      <c r="R36" s="5">
        <f t="shared" si="25"/>
        <v>0</v>
      </c>
      <c r="S36" s="5">
        <f t="shared" si="25"/>
        <v>0</v>
      </c>
      <c r="T36" s="5">
        <f t="shared" si="25"/>
        <v>0</v>
      </c>
      <c r="U36" s="5">
        <f t="shared" si="25"/>
        <v>0</v>
      </c>
      <c r="V36" s="5">
        <f t="shared" si="25"/>
        <v>0</v>
      </c>
      <c r="W36" s="5">
        <f t="shared" si="25"/>
        <v>0</v>
      </c>
      <c r="X36" s="5">
        <f t="shared" si="25"/>
        <v>0</v>
      </c>
      <c r="Y36" s="5">
        <f t="shared" si="1"/>
        <v>44819.199999999997</v>
      </c>
      <c r="Z36" s="9"/>
    </row>
    <row r="37" spans="1:26" ht="27.95" customHeight="1">
      <c r="A37" s="1" t="s">
        <v>75</v>
      </c>
      <c r="B37" s="7" t="s">
        <v>155</v>
      </c>
      <c r="C37" s="7" t="s">
        <v>17</v>
      </c>
      <c r="D37" s="3" t="s">
        <v>76</v>
      </c>
      <c r="E37" s="4">
        <v>44819.199999999997</v>
      </c>
      <c r="F37" s="4"/>
      <c r="G37" s="4"/>
      <c r="H37" s="4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>
        <f t="shared" si="1"/>
        <v>44819.199999999997</v>
      </c>
      <c r="Z37" s="3"/>
    </row>
    <row r="38" spans="1:26" ht="27.95" customHeight="1">
      <c r="A38" s="1" t="s">
        <v>77</v>
      </c>
      <c r="B38" s="7" t="s">
        <v>78</v>
      </c>
      <c r="C38" s="7"/>
      <c r="D38" s="14" t="s">
        <v>11</v>
      </c>
      <c r="E38" s="5">
        <f>E39+E41+E43+E45+E47+E50+E52+E54+E58</f>
        <v>17415708.879999999</v>
      </c>
      <c r="F38" s="5">
        <f t="shared" ref="F38:X38" si="26">F39+F41+F43+F45+F47+F50+F52+F54+F58</f>
        <v>6420093.4299999997</v>
      </c>
      <c r="G38" s="5">
        <f t="shared" si="26"/>
        <v>5388793.9100000001</v>
      </c>
      <c r="H38" s="5">
        <f t="shared" si="26"/>
        <v>7364797.0899999999</v>
      </c>
      <c r="I38" s="5">
        <f t="shared" si="26"/>
        <v>22874847.259999998</v>
      </c>
      <c r="J38" s="5">
        <f t="shared" si="26"/>
        <v>3391473.74</v>
      </c>
      <c r="K38" s="5">
        <f t="shared" si="26"/>
        <v>9466082.5899999999</v>
      </c>
      <c r="L38" s="5">
        <f t="shared" si="26"/>
        <v>3397335.55</v>
      </c>
      <c r="M38" s="5">
        <f t="shared" si="26"/>
        <v>8326874.29</v>
      </c>
      <c r="N38" s="5">
        <f t="shared" si="26"/>
        <v>4543776.91</v>
      </c>
      <c r="O38" s="5">
        <f t="shared" si="26"/>
        <v>2122688.29</v>
      </c>
      <c r="P38" s="5">
        <f t="shared" si="26"/>
        <v>2428291.41</v>
      </c>
      <c r="Q38" s="5">
        <f t="shared" si="26"/>
        <v>1361825.09</v>
      </c>
      <c r="R38" s="5">
        <f t="shared" si="26"/>
        <v>2043043.43</v>
      </c>
      <c r="S38" s="5">
        <f t="shared" si="26"/>
        <v>1244067.0900000001</v>
      </c>
      <c r="T38" s="5">
        <f t="shared" si="26"/>
        <v>1194632.94</v>
      </c>
      <c r="U38" s="5">
        <f t="shared" si="26"/>
        <v>2909843.71</v>
      </c>
      <c r="V38" s="5">
        <f t="shared" si="26"/>
        <v>1093747.6000000001</v>
      </c>
      <c r="W38" s="5">
        <f t="shared" si="26"/>
        <v>6536350.9700000007</v>
      </c>
      <c r="X38" s="5">
        <f t="shared" si="26"/>
        <v>338652.57</v>
      </c>
      <c r="Y38" s="5">
        <f t="shared" si="1"/>
        <v>109862926.75</v>
      </c>
      <c r="Z38" s="9"/>
    </row>
    <row r="39" spans="1:26" ht="27.95" customHeight="1">
      <c r="A39" s="1" t="s">
        <v>79</v>
      </c>
      <c r="B39" s="7" t="s">
        <v>80</v>
      </c>
      <c r="C39" s="7"/>
      <c r="D39" s="14" t="s">
        <v>81</v>
      </c>
      <c r="E39" s="8">
        <v>13397800</v>
      </c>
      <c r="F39" s="8">
        <v>4995650</v>
      </c>
      <c r="G39" s="8">
        <v>4140150</v>
      </c>
      <c r="H39" s="8">
        <v>6138350</v>
      </c>
      <c r="I39" s="8">
        <v>18348480</v>
      </c>
      <c r="J39" s="8">
        <v>2536270</v>
      </c>
      <c r="K39" s="8">
        <v>7756470</v>
      </c>
      <c r="L39" s="8">
        <v>2540220</v>
      </c>
      <c r="M39" s="8">
        <v>6773100</v>
      </c>
      <c r="N39" s="8">
        <v>3203200</v>
      </c>
      <c r="O39" s="8">
        <v>1437140</v>
      </c>
      <c r="P39" s="8">
        <v>1716000</v>
      </c>
      <c r="Q39" s="8">
        <f>346*2860</f>
        <v>989560</v>
      </c>
      <c r="R39" s="8">
        <v>1424260</v>
      </c>
      <c r="S39" s="8">
        <v>907980</v>
      </c>
      <c r="T39" s="8">
        <v>858000</v>
      </c>
      <c r="U39" s="8">
        <v>1915560</v>
      </c>
      <c r="V39" s="8">
        <v>858000</v>
      </c>
      <c r="W39" s="8">
        <v>5075930</v>
      </c>
      <c r="X39" s="8">
        <v>156800</v>
      </c>
      <c r="Y39" s="5">
        <f t="shared" si="1"/>
        <v>85168920</v>
      </c>
      <c r="Z39" s="9"/>
    </row>
    <row r="40" spans="1:26" ht="27.95" customHeight="1">
      <c r="A40" s="1" t="s">
        <v>82</v>
      </c>
      <c r="B40" s="7" t="s">
        <v>156</v>
      </c>
      <c r="C40" s="7" t="s">
        <v>157</v>
      </c>
      <c r="D40" s="10" t="s">
        <v>158</v>
      </c>
      <c r="E40" s="8">
        <v>669890</v>
      </c>
      <c r="F40" s="8">
        <v>249782.5</v>
      </c>
      <c r="G40" s="8">
        <v>207007.5</v>
      </c>
      <c r="H40" s="8">
        <v>306917.5</v>
      </c>
      <c r="I40" s="8">
        <v>917424</v>
      </c>
      <c r="J40" s="8">
        <v>126813.5</v>
      </c>
      <c r="K40" s="8">
        <v>387823.5</v>
      </c>
      <c r="L40" s="8">
        <v>127011</v>
      </c>
      <c r="M40" s="8">
        <v>338655</v>
      </c>
      <c r="N40" s="8">
        <v>147290</v>
      </c>
      <c r="O40" s="8">
        <v>58415</v>
      </c>
      <c r="P40" s="8">
        <v>84513</v>
      </c>
      <c r="Q40" s="8">
        <f>346*2860*0.05</f>
        <v>49478</v>
      </c>
      <c r="R40" s="8">
        <v>58200</v>
      </c>
      <c r="S40" s="8">
        <v>41252</v>
      </c>
      <c r="T40" s="8">
        <v>32747</v>
      </c>
      <c r="U40" s="8">
        <v>95778</v>
      </c>
      <c r="V40" s="8">
        <v>16445</v>
      </c>
      <c r="W40" s="8">
        <v>253796.5</v>
      </c>
      <c r="X40" s="8">
        <v>7840</v>
      </c>
      <c r="Y40" s="5">
        <f t="shared" si="1"/>
        <v>4177079</v>
      </c>
      <c r="Z40" s="9"/>
    </row>
    <row r="41" spans="1:26" ht="27.95" customHeight="1">
      <c r="A41" s="1" t="s">
        <v>83</v>
      </c>
      <c r="B41" s="7" t="s">
        <v>84</v>
      </c>
      <c r="C41" s="7"/>
      <c r="D41" s="14"/>
      <c r="E41" s="5">
        <f>E42</f>
        <v>107600</v>
      </c>
      <c r="F41" s="5">
        <f t="shared" ref="F41:X41" si="27">F42</f>
        <v>36800</v>
      </c>
      <c r="G41" s="5">
        <f t="shared" si="27"/>
        <v>30400</v>
      </c>
      <c r="H41" s="5">
        <f t="shared" si="27"/>
        <v>40000</v>
      </c>
      <c r="I41" s="5">
        <f t="shared" si="27"/>
        <v>142400</v>
      </c>
      <c r="J41" s="5">
        <f t="shared" si="27"/>
        <v>24000</v>
      </c>
      <c r="K41" s="5">
        <f t="shared" si="27"/>
        <v>53600</v>
      </c>
      <c r="L41" s="5">
        <f t="shared" si="27"/>
        <v>22800</v>
      </c>
      <c r="M41" s="5">
        <f t="shared" si="27"/>
        <v>51200</v>
      </c>
      <c r="N41" s="5">
        <f t="shared" si="27"/>
        <v>39200</v>
      </c>
      <c r="O41" s="5">
        <f t="shared" si="27"/>
        <v>17600</v>
      </c>
      <c r="P41" s="5">
        <f t="shared" si="27"/>
        <v>19200</v>
      </c>
      <c r="Q41" s="5">
        <f t="shared" si="27"/>
        <v>11600</v>
      </c>
      <c r="R41" s="5">
        <f t="shared" si="27"/>
        <v>16800</v>
      </c>
      <c r="S41" s="5">
        <f t="shared" si="27"/>
        <v>8800</v>
      </c>
      <c r="T41" s="5">
        <f t="shared" si="27"/>
        <v>7600</v>
      </c>
      <c r="U41" s="5">
        <f t="shared" si="27"/>
        <v>31200</v>
      </c>
      <c r="V41" s="5">
        <f t="shared" si="27"/>
        <v>4000</v>
      </c>
      <c r="W41" s="5">
        <f t="shared" si="27"/>
        <v>33200</v>
      </c>
      <c r="X41" s="5">
        <f t="shared" si="27"/>
        <v>2800</v>
      </c>
      <c r="Y41" s="5">
        <f t="shared" si="1"/>
        <v>700800</v>
      </c>
      <c r="Z41" s="9"/>
    </row>
    <row r="42" spans="1:26" s="13" customFormat="1" ht="27.95" customHeight="1">
      <c r="A42" s="1" t="s">
        <v>85</v>
      </c>
      <c r="B42" s="12" t="s">
        <v>86</v>
      </c>
      <c r="C42" s="12" t="s">
        <v>17</v>
      </c>
      <c r="D42" s="20" t="s">
        <v>87</v>
      </c>
      <c r="E42" s="5">
        <f>E61*400</f>
        <v>107600</v>
      </c>
      <c r="F42" s="5">
        <f t="shared" ref="F42:X42" si="28">F61*400</f>
        <v>36800</v>
      </c>
      <c r="G42" s="5">
        <f t="shared" si="28"/>
        <v>30400</v>
      </c>
      <c r="H42" s="5">
        <f t="shared" si="28"/>
        <v>40000</v>
      </c>
      <c r="I42" s="5">
        <f t="shared" si="28"/>
        <v>142400</v>
      </c>
      <c r="J42" s="5">
        <f t="shared" si="28"/>
        <v>24000</v>
      </c>
      <c r="K42" s="5">
        <f t="shared" si="28"/>
        <v>53600</v>
      </c>
      <c r="L42" s="5">
        <f t="shared" si="28"/>
        <v>22800</v>
      </c>
      <c r="M42" s="5">
        <f t="shared" si="28"/>
        <v>51200</v>
      </c>
      <c r="N42" s="5">
        <f t="shared" si="28"/>
        <v>39200</v>
      </c>
      <c r="O42" s="5">
        <f t="shared" si="28"/>
        <v>17600</v>
      </c>
      <c r="P42" s="5">
        <f t="shared" si="28"/>
        <v>19200</v>
      </c>
      <c r="Q42" s="5">
        <f t="shared" si="28"/>
        <v>11600</v>
      </c>
      <c r="R42" s="5">
        <f t="shared" si="28"/>
        <v>16800</v>
      </c>
      <c r="S42" s="5">
        <f t="shared" si="28"/>
        <v>8800</v>
      </c>
      <c r="T42" s="5">
        <f t="shared" si="28"/>
        <v>7600</v>
      </c>
      <c r="U42" s="5">
        <f t="shared" si="28"/>
        <v>31200</v>
      </c>
      <c r="V42" s="5">
        <f t="shared" si="28"/>
        <v>4000</v>
      </c>
      <c r="W42" s="5">
        <f t="shared" si="28"/>
        <v>33200</v>
      </c>
      <c r="X42" s="5">
        <f t="shared" si="28"/>
        <v>2800</v>
      </c>
      <c r="Y42" s="5">
        <f t="shared" si="1"/>
        <v>700800</v>
      </c>
      <c r="Z42" s="9"/>
    </row>
    <row r="43" spans="1:26" ht="27.95" customHeight="1">
      <c r="A43" s="1" t="s">
        <v>88</v>
      </c>
      <c r="B43" s="7" t="s">
        <v>89</v>
      </c>
      <c r="C43" s="7"/>
      <c r="D43" s="14" t="s">
        <v>11</v>
      </c>
      <c r="E43" s="5">
        <f>E44</f>
        <v>517599.44999999995</v>
      </c>
      <c r="F43" s="5">
        <f t="shared" ref="F43:X43" si="29">F44</f>
        <v>197400</v>
      </c>
      <c r="G43" s="5">
        <f t="shared" si="29"/>
        <v>134278.19999999998</v>
      </c>
      <c r="H43" s="5">
        <f t="shared" si="29"/>
        <v>170335.94999999998</v>
      </c>
      <c r="I43" s="5">
        <f t="shared" si="29"/>
        <v>522704.39999999997</v>
      </c>
      <c r="J43" s="5">
        <f t="shared" si="29"/>
        <v>69477.45</v>
      </c>
      <c r="K43" s="5">
        <f t="shared" si="29"/>
        <v>191346.3</v>
      </c>
      <c r="L43" s="5">
        <f t="shared" si="29"/>
        <v>139283.54999999999</v>
      </c>
      <c r="M43" s="5">
        <f t="shared" si="29"/>
        <v>215373.15</v>
      </c>
      <c r="N43" s="5">
        <f t="shared" si="29"/>
        <v>147436.04999999999</v>
      </c>
      <c r="O43" s="5">
        <f t="shared" si="29"/>
        <v>64290</v>
      </c>
      <c r="P43" s="5">
        <f t="shared" si="29"/>
        <v>200240.1</v>
      </c>
      <c r="Q43" s="5">
        <f t="shared" si="29"/>
        <v>55978.8</v>
      </c>
      <c r="R43" s="5">
        <f t="shared" si="29"/>
        <v>69180</v>
      </c>
      <c r="S43" s="5">
        <f t="shared" si="29"/>
        <v>97500</v>
      </c>
      <c r="T43" s="5">
        <f t="shared" si="29"/>
        <v>104925</v>
      </c>
      <c r="U43" s="5">
        <f t="shared" si="29"/>
        <v>198000</v>
      </c>
      <c r="V43" s="5">
        <f t="shared" si="29"/>
        <v>99000</v>
      </c>
      <c r="W43" s="5">
        <f t="shared" si="29"/>
        <v>484158</v>
      </c>
      <c r="X43" s="5">
        <f t="shared" si="29"/>
        <v>42000</v>
      </c>
      <c r="Y43" s="5">
        <f t="shared" si="1"/>
        <v>3720506.3999999994</v>
      </c>
      <c r="Z43" s="9"/>
    </row>
    <row r="44" spans="1:26" s="13" customFormat="1" ht="27.95" customHeight="1">
      <c r="A44" s="1" t="s">
        <v>90</v>
      </c>
      <c r="B44" s="12" t="s">
        <v>91</v>
      </c>
      <c r="C44" s="12" t="s">
        <v>17</v>
      </c>
      <c r="D44" s="20" t="s">
        <v>92</v>
      </c>
      <c r="E44" s="5">
        <f>E72*15</f>
        <v>517599.44999999995</v>
      </c>
      <c r="F44" s="5">
        <f t="shared" ref="F44:X44" si="30">F72*15</f>
        <v>197400</v>
      </c>
      <c r="G44" s="5">
        <f t="shared" si="30"/>
        <v>134278.19999999998</v>
      </c>
      <c r="H44" s="5">
        <f t="shared" si="30"/>
        <v>170335.94999999998</v>
      </c>
      <c r="I44" s="5">
        <f t="shared" si="30"/>
        <v>522704.39999999997</v>
      </c>
      <c r="J44" s="5">
        <f t="shared" si="30"/>
        <v>69477.45</v>
      </c>
      <c r="K44" s="5">
        <f t="shared" si="30"/>
        <v>191346.3</v>
      </c>
      <c r="L44" s="5">
        <f t="shared" si="30"/>
        <v>139283.54999999999</v>
      </c>
      <c r="M44" s="5">
        <f t="shared" si="30"/>
        <v>215373.15</v>
      </c>
      <c r="N44" s="5">
        <f t="shared" si="30"/>
        <v>147436.04999999999</v>
      </c>
      <c r="O44" s="5">
        <f t="shared" si="30"/>
        <v>64290</v>
      </c>
      <c r="P44" s="5">
        <f t="shared" si="30"/>
        <v>200240.1</v>
      </c>
      <c r="Q44" s="5">
        <f t="shared" si="30"/>
        <v>55978.8</v>
      </c>
      <c r="R44" s="5">
        <f t="shared" si="30"/>
        <v>69180</v>
      </c>
      <c r="S44" s="5">
        <f t="shared" si="30"/>
        <v>97500</v>
      </c>
      <c r="T44" s="5">
        <f t="shared" si="30"/>
        <v>104925</v>
      </c>
      <c r="U44" s="5">
        <f t="shared" si="30"/>
        <v>198000</v>
      </c>
      <c r="V44" s="5">
        <f t="shared" si="30"/>
        <v>99000</v>
      </c>
      <c r="W44" s="5">
        <f t="shared" si="30"/>
        <v>484158</v>
      </c>
      <c r="X44" s="5">
        <f t="shared" si="30"/>
        <v>42000</v>
      </c>
      <c r="Y44" s="5">
        <f t="shared" si="1"/>
        <v>3720506.3999999994</v>
      </c>
      <c r="Z44" s="9"/>
    </row>
    <row r="45" spans="1:26" ht="27.95" customHeight="1">
      <c r="A45" s="1" t="s">
        <v>93</v>
      </c>
      <c r="B45" s="7" t="s">
        <v>94</v>
      </c>
      <c r="C45" s="7"/>
      <c r="D45" s="14" t="s">
        <v>11</v>
      </c>
      <c r="E45" s="5">
        <f>E46</f>
        <v>139576</v>
      </c>
      <c r="F45" s="5">
        <f t="shared" ref="F45:X45" si="31">F46</f>
        <v>69528</v>
      </c>
      <c r="G45" s="5">
        <f t="shared" si="31"/>
        <v>51968</v>
      </c>
      <c r="H45" s="5">
        <f t="shared" si="31"/>
        <v>32584</v>
      </c>
      <c r="I45" s="5">
        <f t="shared" si="31"/>
        <v>98712</v>
      </c>
      <c r="J45" s="5">
        <f t="shared" si="31"/>
        <v>25808</v>
      </c>
      <c r="K45" s="5">
        <f t="shared" si="31"/>
        <v>52960</v>
      </c>
      <c r="L45" s="5">
        <f t="shared" si="31"/>
        <v>28680</v>
      </c>
      <c r="M45" s="5">
        <f t="shared" si="31"/>
        <v>63040</v>
      </c>
      <c r="N45" s="5">
        <f t="shared" si="31"/>
        <v>42640</v>
      </c>
      <c r="O45" s="5">
        <f t="shared" si="31"/>
        <v>18800</v>
      </c>
      <c r="P45" s="5">
        <f t="shared" si="31"/>
        <v>48357.599999999999</v>
      </c>
      <c r="Q45" s="5">
        <f t="shared" si="31"/>
        <v>14288</v>
      </c>
      <c r="R45" s="5">
        <f t="shared" si="31"/>
        <v>13736</v>
      </c>
      <c r="S45" s="5">
        <f t="shared" si="31"/>
        <v>18496.8</v>
      </c>
      <c r="T45" s="5">
        <f t="shared" si="31"/>
        <v>29584.799999999999</v>
      </c>
      <c r="U45" s="5">
        <f t="shared" si="31"/>
        <v>32800</v>
      </c>
      <c r="V45" s="5">
        <f t="shared" si="31"/>
        <v>18499.599999999999</v>
      </c>
      <c r="W45" s="5">
        <f t="shared" si="31"/>
        <v>137634.4</v>
      </c>
      <c r="X45" s="5">
        <f t="shared" si="31"/>
        <v>0</v>
      </c>
      <c r="Y45" s="5">
        <f t="shared" si="1"/>
        <v>937693.20000000007</v>
      </c>
      <c r="Z45" s="9"/>
    </row>
    <row r="46" spans="1:26" s="13" customFormat="1" ht="27.95" customHeight="1">
      <c r="A46" s="1" t="s">
        <v>95</v>
      </c>
      <c r="B46" s="12" t="s">
        <v>96</v>
      </c>
      <c r="C46" s="12" t="s">
        <v>17</v>
      </c>
      <c r="D46" s="20" t="s">
        <v>97</v>
      </c>
      <c r="E46" s="5">
        <f>E73*8</f>
        <v>139576</v>
      </c>
      <c r="F46" s="5">
        <f t="shared" ref="F46:X46" si="32">F73*8</f>
        <v>69528</v>
      </c>
      <c r="G46" s="5">
        <f t="shared" si="32"/>
        <v>51968</v>
      </c>
      <c r="H46" s="5">
        <f t="shared" si="32"/>
        <v>32584</v>
      </c>
      <c r="I46" s="5">
        <f t="shared" si="32"/>
        <v>98712</v>
      </c>
      <c r="J46" s="5">
        <f t="shared" si="32"/>
        <v>25808</v>
      </c>
      <c r="K46" s="5">
        <f t="shared" si="32"/>
        <v>52960</v>
      </c>
      <c r="L46" s="5">
        <f t="shared" si="32"/>
        <v>28680</v>
      </c>
      <c r="M46" s="5">
        <f t="shared" si="32"/>
        <v>63040</v>
      </c>
      <c r="N46" s="5">
        <f t="shared" si="32"/>
        <v>42640</v>
      </c>
      <c r="O46" s="5">
        <f t="shared" si="32"/>
        <v>18800</v>
      </c>
      <c r="P46" s="5">
        <f t="shared" si="32"/>
        <v>48357.599999999999</v>
      </c>
      <c r="Q46" s="5">
        <f t="shared" si="32"/>
        <v>14288</v>
      </c>
      <c r="R46" s="5">
        <f t="shared" si="32"/>
        <v>13736</v>
      </c>
      <c r="S46" s="5">
        <f t="shared" si="32"/>
        <v>18496.8</v>
      </c>
      <c r="T46" s="5">
        <f t="shared" si="32"/>
        <v>29584.799999999999</v>
      </c>
      <c r="U46" s="5">
        <f t="shared" si="32"/>
        <v>32800</v>
      </c>
      <c r="V46" s="5">
        <f t="shared" si="32"/>
        <v>18499.599999999999</v>
      </c>
      <c r="W46" s="5">
        <f t="shared" si="32"/>
        <v>137634.4</v>
      </c>
      <c r="X46" s="5">
        <f t="shared" si="32"/>
        <v>0</v>
      </c>
      <c r="Y46" s="5">
        <f t="shared" si="1"/>
        <v>937693.20000000007</v>
      </c>
      <c r="Z46" s="9"/>
    </row>
    <row r="47" spans="1:26" ht="27.95" customHeight="1">
      <c r="A47" s="1" t="s">
        <v>98</v>
      </c>
      <c r="B47" s="7" t="s">
        <v>159</v>
      </c>
      <c r="C47" s="7"/>
      <c r="D47" s="14" t="s">
        <v>11</v>
      </c>
      <c r="E47" s="5">
        <f>E48+E49</f>
        <v>1684800</v>
      </c>
      <c r="F47" s="5">
        <f t="shared" ref="F47:X47" si="33">F48+F49</f>
        <v>604800</v>
      </c>
      <c r="G47" s="5">
        <f t="shared" si="33"/>
        <v>600480</v>
      </c>
      <c r="H47" s="5">
        <f t="shared" si="33"/>
        <v>436320</v>
      </c>
      <c r="I47" s="5">
        <f t="shared" si="33"/>
        <v>2000160</v>
      </c>
      <c r="J47" s="5">
        <f t="shared" si="33"/>
        <v>406080</v>
      </c>
      <c r="K47" s="5">
        <f t="shared" si="33"/>
        <v>725760</v>
      </c>
      <c r="L47" s="5">
        <f t="shared" si="33"/>
        <v>345600</v>
      </c>
      <c r="M47" s="5">
        <f t="shared" si="33"/>
        <v>565920</v>
      </c>
      <c r="N47" s="5">
        <f t="shared" si="33"/>
        <v>613440</v>
      </c>
      <c r="O47" s="5">
        <f t="shared" si="33"/>
        <v>345600</v>
      </c>
      <c r="P47" s="5">
        <f t="shared" si="33"/>
        <v>211680</v>
      </c>
      <c r="Q47" s="5">
        <f t="shared" si="33"/>
        <v>125280</v>
      </c>
      <c r="R47" s="5">
        <f t="shared" si="33"/>
        <v>293760</v>
      </c>
      <c r="S47" s="5">
        <f t="shared" si="33"/>
        <v>95040</v>
      </c>
      <c r="T47" s="5">
        <f t="shared" si="33"/>
        <v>82080</v>
      </c>
      <c r="U47" s="5">
        <f t="shared" si="33"/>
        <v>345600</v>
      </c>
      <c r="V47" s="5">
        <f t="shared" si="33"/>
        <v>43200</v>
      </c>
      <c r="W47" s="5">
        <f t="shared" si="33"/>
        <v>414720</v>
      </c>
      <c r="X47" s="5">
        <f t="shared" si="33"/>
        <v>64800</v>
      </c>
      <c r="Y47" s="5">
        <f t="shared" si="1"/>
        <v>10005120</v>
      </c>
      <c r="Z47" s="9"/>
    </row>
    <row r="48" spans="1:26" s="13" customFormat="1" ht="27.95" customHeight="1">
      <c r="A48" s="1" t="s">
        <v>99</v>
      </c>
      <c r="B48" s="12" t="s">
        <v>160</v>
      </c>
      <c r="C48" s="12" t="s">
        <v>17</v>
      </c>
      <c r="D48" s="20" t="s">
        <v>100</v>
      </c>
      <c r="E48" s="5">
        <f>E61*4320</f>
        <v>1162080</v>
      </c>
      <c r="F48" s="5">
        <f t="shared" ref="F48:X48" si="34">F61*4320</f>
        <v>397440</v>
      </c>
      <c r="G48" s="5">
        <f t="shared" si="34"/>
        <v>328320</v>
      </c>
      <c r="H48" s="5">
        <f t="shared" si="34"/>
        <v>432000</v>
      </c>
      <c r="I48" s="5">
        <f t="shared" si="34"/>
        <v>1537920</v>
      </c>
      <c r="J48" s="5">
        <f t="shared" si="34"/>
        <v>259200</v>
      </c>
      <c r="K48" s="5">
        <f t="shared" si="34"/>
        <v>578880</v>
      </c>
      <c r="L48" s="5">
        <f t="shared" si="34"/>
        <v>246240</v>
      </c>
      <c r="M48" s="5">
        <f t="shared" si="34"/>
        <v>552960</v>
      </c>
      <c r="N48" s="5">
        <f t="shared" si="34"/>
        <v>423360</v>
      </c>
      <c r="O48" s="5">
        <f t="shared" si="34"/>
        <v>190080</v>
      </c>
      <c r="P48" s="5">
        <f t="shared" si="34"/>
        <v>207360</v>
      </c>
      <c r="Q48" s="5">
        <f t="shared" si="34"/>
        <v>125280</v>
      </c>
      <c r="R48" s="5">
        <f t="shared" si="34"/>
        <v>181440</v>
      </c>
      <c r="S48" s="5">
        <f t="shared" si="34"/>
        <v>95040</v>
      </c>
      <c r="T48" s="5">
        <f t="shared" si="34"/>
        <v>82080</v>
      </c>
      <c r="U48" s="5">
        <f t="shared" si="34"/>
        <v>336960</v>
      </c>
      <c r="V48" s="5">
        <f t="shared" si="34"/>
        <v>43200</v>
      </c>
      <c r="W48" s="5">
        <f t="shared" si="34"/>
        <v>358560</v>
      </c>
      <c r="X48" s="5">
        <f t="shared" si="34"/>
        <v>30240</v>
      </c>
      <c r="Y48" s="5">
        <f t="shared" si="1"/>
        <v>7568640</v>
      </c>
      <c r="Z48" s="9"/>
    </row>
    <row r="49" spans="1:26" s="13" customFormat="1" ht="27.95" customHeight="1">
      <c r="A49" s="1" t="s">
        <v>101</v>
      </c>
      <c r="B49" s="12" t="s">
        <v>161</v>
      </c>
      <c r="C49" s="12" t="s">
        <v>17</v>
      </c>
      <c r="D49" s="20" t="s">
        <v>162</v>
      </c>
      <c r="E49" s="5">
        <f>E71*4320</f>
        <v>522720</v>
      </c>
      <c r="F49" s="5">
        <f t="shared" ref="F49:X49" si="35">F71*4320</f>
        <v>207360</v>
      </c>
      <c r="G49" s="5">
        <f t="shared" si="35"/>
        <v>272160</v>
      </c>
      <c r="H49" s="5">
        <f t="shared" si="35"/>
        <v>4320</v>
      </c>
      <c r="I49" s="5">
        <f t="shared" si="35"/>
        <v>462240</v>
      </c>
      <c r="J49" s="5">
        <f t="shared" si="35"/>
        <v>146880</v>
      </c>
      <c r="K49" s="5">
        <f t="shared" si="35"/>
        <v>146880</v>
      </c>
      <c r="L49" s="5">
        <f t="shared" si="35"/>
        <v>99360</v>
      </c>
      <c r="M49" s="5">
        <f t="shared" si="35"/>
        <v>12960</v>
      </c>
      <c r="N49" s="5">
        <f t="shared" si="35"/>
        <v>190080</v>
      </c>
      <c r="O49" s="5">
        <f t="shared" si="35"/>
        <v>155520</v>
      </c>
      <c r="P49" s="5">
        <f t="shared" si="35"/>
        <v>4320</v>
      </c>
      <c r="Q49" s="5">
        <f t="shared" si="35"/>
        <v>0</v>
      </c>
      <c r="R49" s="5">
        <f t="shared" si="35"/>
        <v>112320</v>
      </c>
      <c r="S49" s="5">
        <f t="shared" si="35"/>
        <v>0</v>
      </c>
      <c r="T49" s="5">
        <f t="shared" si="35"/>
        <v>0</v>
      </c>
      <c r="U49" s="5">
        <f t="shared" si="35"/>
        <v>8640</v>
      </c>
      <c r="V49" s="5">
        <f t="shared" si="35"/>
        <v>0</v>
      </c>
      <c r="W49" s="5">
        <f t="shared" si="35"/>
        <v>56160</v>
      </c>
      <c r="X49" s="5">
        <f t="shared" si="35"/>
        <v>34560</v>
      </c>
      <c r="Y49" s="5">
        <f t="shared" si="1"/>
        <v>2436480</v>
      </c>
      <c r="Z49" s="9"/>
    </row>
    <row r="50" spans="1:26" ht="27.95" customHeight="1">
      <c r="A50" s="1" t="s">
        <v>102</v>
      </c>
      <c r="B50" s="7" t="s">
        <v>163</v>
      </c>
      <c r="C50" s="7"/>
      <c r="D50" s="14" t="s">
        <v>11</v>
      </c>
      <c r="E50" s="5">
        <f>E51</f>
        <v>1471083.43</v>
      </c>
      <c r="F50" s="5">
        <f t="shared" ref="F50:X50" si="36">F51</f>
        <v>460515.43</v>
      </c>
      <c r="G50" s="5">
        <f t="shared" si="36"/>
        <v>373117.71</v>
      </c>
      <c r="H50" s="5">
        <f t="shared" si="36"/>
        <v>500057.14</v>
      </c>
      <c r="I50" s="5">
        <f t="shared" si="36"/>
        <v>1642590.86</v>
      </c>
      <c r="J50" s="5">
        <f t="shared" si="36"/>
        <v>283738.28999999998</v>
      </c>
      <c r="K50" s="5">
        <f t="shared" si="36"/>
        <v>636346.29</v>
      </c>
      <c r="L50" s="5">
        <f t="shared" si="36"/>
        <v>278952</v>
      </c>
      <c r="M50" s="5">
        <f t="shared" si="36"/>
        <v>615041.14</v>
      </c>
      <c r="N50" s="5">
        <f t="shared" si="36"/>
        <v>426510.86</v>
      </c>
      <c r="O50" s="5">
        <f t="shared" si="36"/>
        <v>190858.29</v>
      </c>
      <c r="P50" s="5">
        <f t="shared" si="36"/>
        <v>196213.71</v>
      </c>
      <c r="Q50" s="5">
        <f t="shared" si="36"/>
        <v>130618.29</v>
      </c>
      <c r="R50" s="5">
        <f t="shared" si="36"/>
        <v>182307.43</v>
      </c>
      <c r="S50" s="5">
        <f t="shared" si="36"/>
        <v>83650.289999999994</v>
      </c>
      <c r="T50" s="5">
        <f t="shared" si="36"/>
        <v>79193.14</v>
      </c>
      <c r="U50" s="5">
        <f t="shared" si="36"/>
        <v>351733.71</v>
      </c>
      <c r="V50" s="5">
        <f t="shared" si="36"/>
        <v>39048</v>
      </c>
      <c r="W50" s="5">
        <f t="shared" si="36"/>
        <v>349508.57</v>
      </c>
      <c r="X50" s="5">
        <f t="shared" si="36"/>
        <v>37052.57</v>
      </c>
      <c r="Y50" s="5">
        <f t="shared" si="1"/>
        <v>8328137.1500000004</v>
      </c>
      <c r="Z50" s="9"/>
    </row>
    <row r="51" spans="1:26" s="13" customFormat="1" ht="27.95" customHeight="1">
      <c r="A51" s="1" t="s">
        <v>103</v>
      </c>
      <c r="B51" s="12" t="s">
        <v>104</v>
      </c>
      <c r="C51" s="12" t="s">
        <v>17</v>
      </c>
      <c r="D51" s="9" t="s">
        <v>32</v>
      </c>
      <c r="E51" s="5">
        <f>ROUND(E29/0.07*0.02,2)</f>
        <v>1471083.43</v>
      </c>
      <c r="F51" s="5">
        <f t="shared" ref="F51:X51" si="37">ROUND(F29/0.07*0.02,2)</f>
        <v>460515.43</v>
      </c>
      <c r="G51" s="5">
        <f t="shared" si="37"/>
        <v>373117.71</v>
      </c>
      <c r="H51" s="5">
        <f t="shared" si="37"/>
        <v>500057.14</v>
      </c>
      <c r="I51" s="5">
        <f t="shared" si="37"/>
        <v>1642590.86</v>
      </c>
      <c r="J51" s="5">
        <f t="shared" si="37"/>
        <v>283738.28999999998</v>
      </c>
      <c r="K51" s="5">
        <f t="shared" si="37"/>
        <v>636346.29</v>
      </c>
      <c r="L51" s="5">
        <f t="shared" si="37"/>
        <v>278952</v>
      </c>
      <c r="M51" s="5">
        <f t="shared" si="37"/>
        <v>615041.14</v>
      </c>
      <c r="N51" s="5">
        <f t="shared" si="37"/>
        <v>426510.86</v>
      </c>
      <c r="O51" s="5">
        <f t="shared" si="37"/>
        <v>190858.29</v>
      </c>
      <c r="P51" s="5">
        <f t="shared" si="37"/>
        <v>196213.71</v>
      </c>
      <c r="Q51" s="5">
        <f t="shared" si="37"/>
        <v>130618.29</v>
      </c>
      <c r="R51" s="5">
        <f t="shared" si="37"/>
        <v>182307.43</v>
      </c>
      <c r="S51" s="5">
        <f t="shared" si="37"/>
        <v>83650.289999999994</v>
      </c>
      <c r="T51" s="5">
        <f t="shared" si="37"/>
        <v>79193.14</v>
      </c>
      <c r="U51" s="5">
        <f t="shared" si="37"/>
        <v>351733.71</v>
      </c>
      <c r="V51" s="5">
        <f t="shared" si="37"/>
        <v>39048</v>
      </c>
      <c r="W51" s="5">
        <f t="shared" si="37"/>
        <v>349508.57</v>
      </c>
      <c r="X51" s="5">
        <f t="shared" si="37"/>
        <v>37052.57</v>
      </c>
      <c r="Y51" s="5">
        <f t="shared" si="1"/>
        <v>8328137.1500000004</v>
      </c>
      <c r="Z51" s="9"/>
    </row>
    <row r="52" spans="1:26" ht="27.95" customHeight="1">
      <c r="A52" s="1" t="s">
        <v>105</v>
      </c>
      <c r="B52" s="7" t="s">
        <v>164</v>
      </c>
      <c r="C52" s="7"/>
      <c r="D52" s="14" t="s">
        <v>11</v>
      </c>
      <c r="E52" s="5">
        <f>E53</f>
        <v>32000</v>
      </c>
      <c r="F52" s="5">
        <f t="shared" ref="F52:X52" si="38">F53</f>
        <v>32000</v>
      </c>
      <c r="G52" s="5">
        <f t="shared" si="38"/>
        <v>32000</v>
      </c>
      <c r="H52" s="5">
        <f t="shared" si="38"/>
        <v>32000</v>
      </c>
      <c r="I52" s="5">
        <f t="shared" si="38"/>
        <v>32000</v>
      </c>
      <c r="J52" s="5">
        <f t="shared" si="38"/>
        <v>32000</v>
      </c>
      <c r="K52" s="5">
        <f t="shared" si="38"/>
        <v>0</v>
      </c>
      <c r="L52" s="5">
        <f t="shared" si="38"/>
        <v>32000</v>
      </c>
      <c r="M52" s="5">
        <f t="shared" si="38"/>
        <v>32000</v>
      </c>
      <c r="N52" s="5">
        <f t="shared" si="38"/>
        <v>32000</v>
      </c>
      <c r="O52" s="5">
        <f t="shared" si="38"/>
        <v>0</v>
      </c>
      <c r="P52" s="5">
        <f t="shared" si="38"/>
        <v>0</v>
      </c>
      <c r="Q52" s="5">
        <f t="shared" si="38"/>
        <v>32000</v>
      </c>
      <c r="R52" s="5">
        <f t="shared" si="38"/>
        <v>0</v>
      </c>
      <c r="S52" s="5">
        <f t="shared" si="38"/>
        <v>0</v>
      </c>
      <c r="T52" s="5">
        <f t="shared" si="38"/>
        <v>0</v>
      </c>
      <c r="U52" s="5">
        <f t="shared" si="38"/>
        <v>0</v>
      </c>
      <c r="V52" s="5">
        <f t="shared" si="38"/>
        <v>0</v>
      </c>
      <c r="W52" s="5">
        <f t="shared" si="38"/>
        <v>0</v>
      </c>
      <c r="X52" s="5">
        <f t="shared" si="38"/>
        <v>0</v>
      </c>
      <c r="Y52" s="5">
        <f t="shared" si="1"/>
        <v>320000</v>
      </c>
      <c r="Z52" s="9"/>
    </row>
    <row r="53" spans="1:26" ht="27.95" customHeight="1">
      <c r="A53" s="1" t="s">
        <v>106</v>
      </c>
      <c r="B53" s="7" t="s">
        <v>107</v>
      </c>
      <c r="C53" s="7" t="s">
        <v>17</v>
      </c>
      <c r="D53" s="10" t="s">
        <v>108</v>
      </c>
      <c r="E53" s="8">
        <v>32000</v>
      </c>
      <c r="F53" s="8">
        <v>32000</v>
      </c>
      <c r="G53" s="8">
        <v>32000</v>
      </c>
      <c r="H53" s="8">
        <v>32000</v>
      </c>
      <c r="I53" s="8">
        <v>32000</v>
      </c>
      <c r="J53" s="8">
        <v>32000</v>
      </c>
      <c r="K53" s="8"/>
      <c r="L53" s="8">
        <v>32000</v>
      </c>
      <c r="M53" s="8">
        <v>32000</v>
      </c>
      <c r="N53" s="8">
        <v>32000</v>
      </c>
      <c r="O53" s="8"/>
      <c r="P53" s="8"/>
      <c r="Q53" s="8">
        <v>32000</v>
      </c>
      <c r="R53" s="8"/>
      <c r="S53" s="8"/>
      <c r="T53" s="8"/>
      <c r="U53" s="8"/>
      <c r="V53" s="8"/>
      <c r="W53" s="8"/>
      <c r="X53" s="8"/>
      <c r="Y53" s="5">
        <f t="shared" si="1"/>
        <v>320000</v>
      </c>
      <c r="Z53" s="9"/>
    </row>
    <row r="54" spans="1:26" ht="27.95" customHeight="1">
      <c r="A54" s="1" t="s">
        <v>109</v>
      </c>
      <c r="B54" s="7" t="s">
        <v>165</v>
      </c>
      <c r="C54" s="7"/>
      <c r="D54" s="14" t="s">
        <v>11</v>
      </c>
      <c r="E54" s="5">
        <f>E55+E57</f>
        <v>55250</v>
      </c>
      <c r="F54" s="5">
        <f t="shared" ref="F54:X54" si="39">F55+F57</f>
        <v>23400</v>
      </c>
      <c r="G54" s="5">
        <f t="shared" si="39"/>
        <v>26400</v>
      </c>
      <c r="H54" s="5">
        <f t="shared" si="39"/>
        <v>5150</v>
      </c>
      <c r="I54" s="5">
        <f t="shared" si="39"/>
        <v>67800</v>
      </c>
      <c r="J54" s="5">
        <f t="shared" si="39"/>
        <v>14100</v>
      </c>
      <c r="K54" s="5">
        <f t="shared" si="39"/>
        <v>17600</v>
      </c>
      <c r="L54" s="5">
        <f t="shared" si="39"/>
        <v>9800</v>
      </c>
      <c r="M54" s="5">
        <f t="shared" si="39"/>
        <v>11200</v>
      </c>
      <c r="N54" s="5">
        <f t="shared" si="39"/>
        <v>19350</v>
      </c>
      <c r="O54" s="5">
        <f t="shared" si="39"/>
        <v>16400</v>
      </c>
      <c r="P54" s="5">
        <f t="shared" si="39"/>
        <v>4600</v>
      </c>
      <c r="Q54" s="5">
        <f t="shared" si="39"/>
        <v>2500</v>
      </c>
      <c r="R54" s="5">
        <f t="shared" si="39"/>
        <v>11000</v>
      </c>
      <c r="S54" s="5">
        <f t="shared" si="39"/>
        <v>600</v>
      </c>
      <c r="T54" s="5">
        <f t="shared" si="39"/>
        <v>1250</v>
      </c>
      <c r="U54" s="5">
        <f t="shared" si="39"/>
        <v>2950</v>
      </c>
      <c r="V54" s="5">
        <f t="shared" si="39"/>
        <v>0</v>
      </c>
      <c r="W54" s="5">
        <f t="shared" si="39"/>
        <v>9200</v>
      </c>
      <c r="X54" s="5">
        <f t="shared" si="39"/>
        <v>3200</v>
      </c>
      <c r="Y54" s="5">
        <f t="shared" si="1"/>
        <v>301750</v>
      </c>
      <c r="Z54" s="9"/>
    </row>
    <row r="55" spans="1:26" ht="27.95" customHeight="1">
      <c r="A55" s="1" t="s">
        <v>110</v>
      </c>
      <c r="B55" s="7" t="s">
        <v>166</v>
      </c>
      <c r="C55" s="7" t="s">
        <v>17</v>
      </c>
      <c r="D55" s="14" t="s">
        <v>11</v>
      </c>
      <c r="E55" s="5">
        <f>E56</f>
        <v>48400</v>
      </c>
      <c r="F55" s="5">
        <f t="shared" ref="F55:X55" si="40">F56</f>
        <v>19200</v>
      </c>
      <c r="G55" s="5">
        <f t="shared" si="40"/>
        <v>25200</v>
      </c>
      <c r="H55" s="5">
        <f t="shared" si="40"/>
        <v>400</v>
      </c>
      <c r="I55" s="5">
        <f t="shared" si="40"/>
        <v>42800</v>
      </c>
      <c r="J55" s="5">
        <f t="shared" si="40"/>
        <v>13600</v>
      </c>
      <c r="K55" s="5">
        <f t="shared" si="40"/>
        <v>13600</v>
      </c>
      <c r="L55" s="5">
        <f t="shared" si="40"/>
        <v>9200</v>
      </c>
      <c r="M55" s="5">
        <f t="shared" si="40"/>
        <v>1200</v>
      </c>
      <c r="N55" s="5">
        <f t="shared" si="40"/>
        <v>17600</v>
      </c>
      <c r="O55" s="5">
        <f t="shared" si="40"/>
        <v>14400</v>
      </c>
      <c r="P55" s="5">
        <f t="shared" si="40"/>
        <v>400</v>
      </c>
      <c r="Q55" s="5">
        <f t="shared" si="40"/>
        <v>0</v>
      </c>
      <c r="R55" s="5">
        <f t="shared" si="40"/>
        <v>10400</v>
      </c>
      <c r="S55" s="5">
        <f t="shared" si="40"/>
        <v>0</v>
      </c>
      <c r="T55" s="5">
        <f t="shared" si="40"/>
        <v>0</v>
      </c>
      <c r="U55" s="5">
        <f t="shared" si="40"/>
        <v>800</v>
      </c>
      <c r="V55" s="5">
        <f t="shared" si="40"/>
        <v>0</v>
      </c>
      <c r="W55" s="5">
        <f t="shared" si="40"/>
        <v>5200</v>
      </c>
      <c r="X55" s="5">
        <f t="shared" si="40"/>
        <v>3200</v>
      </c>
      <c r="Y55" s="5">
        <f t="shared" si="1"/>
        <v>225600</v>
      </c>
      <c r="Z55" s="9"/>
    </row>
    <row r="56" spans="1:26" s="13" customFormat="1" ht="27.95" customHeight="1">
      <c r="A56" s="1" t="s">
        <v>111</v>
      </c>
      <c r="B56" s="12" t="s">
        <v>112</v>
      </c>
      <c r="C56" s="12" t="s">
        <v>17</v>
      </c>
      <c r="D56" s="20" t="s">
        <v>167</v>
      </c>
      <c r="E56" s="5">
        <f>E71*400</f>
        <v>48400</v>
      </c>
      <c r="F56" s="5">
        <f t="shared" ref="F56:X56" si="41">F71*400</f>
        <v>19200</v>
      </c>
      <c r="G56" s="5">
        <f t="shared" si="41"/>
        <v>25200</v>
      </c>
      <c r="H56" s="5">
        <f t="shared" si="41"/>
        <v>400</v>
      </c>
      <c r="I56" s="5">
        <f t="shared" si="41"/>
        <v>42800</v>
      </c>
      <c r="J56" s="5">
        <f t="shared" si="41"/>
        <v>13600</v>
      </c>
      <c r="K56" s="5">
        <f t="shared" si="41"/>
        <v>13600</v>
      </c>
      <c r="L56" s="5">
        <f t="shared" si="41"/>
        <v>9200</v>
      </c>
      <c r="M56" s="5">
        <f t="shared" si="41"/>
        <v>1200</v>
      </c>
      <c r="N56" s="5">
        <f t="shared" si="41"/>
        <v>17600</v>
      </c>
      <c r="O56" s="5">
        <f t="shared" si="41"/>
        <v>14400</v>
      </c>
      <c r="P56" s="5">
        <f t="shared" si="41"/>
        <v>400</v>
      </c>
      <c r="Q56" s="5">
        <f t="shared" si="41"/>
        <v>0</v>
      </c>
      <c r="R56" s="5">
        <f t="shared" si="41"/>
        <v>10400</v>
      </c>
      <c r="S56" s="5">
        <f t="shared" si="41"/>
        <v>0</v>
      </c>
      <c r="T56" s="5">
        <f t="shared" si="41"/>
        <v>0</v>
      </c>
      <c r="U56" s="5">
        <f t="shared" si="41"/>
        <v>800</v>
      </c>
      <c r="V56" s="5">
        <f t="shared" si="41"/>
        <v>0</v>
      </c>
      <c r="W56" s="5">
        <f t="shared" si="41"/>
        <v>5200</v>
      </c>
      <c r="X56" s="5">
        <f t="shared" si="41"/>
        <v>3200</v>
      </c>
      <c r="Y56" s="5">
        <f t="shared" si="1"/>
        <v>225600</v>
      </c>
      <c r="Z56" s="9"/>
    </row>
    <row r="57" spans="1:26" ht="27.95" customHeight="1">
      <c r="A57" s="1" t="s">
        <v>113</v>
      </c>
      <c r="B57" s="7" t="s">
        <v>168</v>
      </c>
      <c r="C57" s="7" t="s">
        <v>17</v>
      </c>
      <c r="D57" s="10" t="s">
        <v>114</v>
      </c>
      <c r="E57" s="21">
        <v>6850</v>
      </c>
      <c r="F57" s="21">
        <v>4200</v>
      </c>
      <c r="G57" s="21">
        <v>1200</v>
      </c>
      <c r="H57" s="21">
        <v>4750</v>
      </c>
      <c r="I57" s="21">
        <v>25000</v>
      </c>
      <c r="J57" s="21">
        <v>500</v>
      </c>
      <c r="K57" s="21">
        <v>4000</v>
      </c>
      <c r="L57" s="21">
        <v>600</v>
      </c>
      <c r="M57" s="21">
        <v>10000</v>
      </c>
      <c r="N57" s="21">
        <v>1750</v>
      </c>
      <c r="O57" s="21">
        <v>2000</v>
      </c>
      <c r="P57" s="21">
        <v>4200</v>
      </c>
      <c r="Q57" s="21">
        <v>2500</v>
      </c>
      <c r="R57" s="21">
        <v>600</v>
      </c>
      <c r="S57" s="21">
        <v>600</v>
      </c>
      <c r="T57" s="21">
        <v>1250</v>
      </c>
      <c r="U57" s="21">
        <v>2150</v>
      </c>
      <c r="V57" s="21">
        <v>0</v>
      </c>
      <c r="W57" s="21">
        <v>4000</v>
      </c>
      <c r="X57" s="21"/>
      <c r="Y57" s="5">
        <f t="shared" si="1"/>
        <v>76150</v>
      </c>
      <c r="Z57" s="3"/>
    </row>
    <row r="58" spans="1:26" ht="27.95" customHeight="1">
      <c r="A58" s="1" t="s">
        <v>115</v>
      </c>
      <c r="B58" s="7" t="s">
        <v>169</v>
      </c>
      <c r="C58" s="7"/>
      <c r="D58" s="14" t="s">
        <v>11</v>
      </c>
      <c r="E58" s="5">
        <f>E59</f>
        <v>10000</v>
      </c>
      <c r="F58" s="5">
        <f t="shared" ref="F58:X58" si="42">F59</f>
        <v>0</v>
      </c>
      <c r="G58" s="5">
        <f t="shared" si="42"/>
        <v>0</v>
      </c>
      <c r="H58" s="5">
        <f t="shared" si="42"/>
        <v>10000</v>
      </c>
      <c r="I58" s="5">
        <f t="shared" si="42"/>
        <v>20000</v>
      </c>
      <c r="J58" s="5">
        <f t="shared" si="42"/>
        <v>0</v>
      </c>
      <c r="K58" s="5">
        <f t="shared" si="42"/>
        <v>32000</v>
      </c>
      <c r="L58" s="5">
        <f t="shared" si="42"/>
        <v>0</v>
      </c>
      <c r="M58" s="5">
        <f t="shared" si="42"/>
        <v>0</v>
      </c>
      <c r="N58" s="5">
        <f t="shared" si="42"/>
        <v>20000</v>
      </c>
      <c r="O58" s="5">
        <f t="shared" si="42"/>
        <v>32000</v>
      </c>
      <c r="P58" s="5">
        <f t="shared" si="42"/>
        <v>32000</v>
      </c>
      <c r="Q58" s="5">
        <f t="shared" si="42"/>
        <v>0</v>
      </c>
      <c r="R58" s="5">
        <f t="shared" si="42"/>
        <v>32000</v>
      </c>
      <c r="S58" s="5">
        <f t="shared" si="42"/>
        <v>32000</v>
      </c>
      <c r="T58" s="5">
        <f t="shared" si="42"/>
        <v>32000</v>
      </c>
      <c r="U58" s="5">
        <f t="shared" si="42"/>
        <v>32000</v>
      </c>
      <c r="V58" s="5">
        <f t="shared" si="42"/>
        <v>32000</v>
      </c>
      <c r="W58" s="5">
        <f t="shared" si="42"/>
        <v>32000</v>
      </c>
      <c r="X58" s="5">
        <f t="shared" si="42"/>
        <v>32000</v>
      </c>
      <c r="Y58" s="5">
        <f t="shared" si="1"/>
        <v>380000</v>
      </c>
      <c r="Z58" s="9"/>
    </row>
    <row r="59" spans="1:26" ht="27.95" customHeight="1" thickBot="1">
      <c r="A59" s="1" t="s">
        <v>116</v>
      </c>
      <c r="B59" s="22" t="s">
        <v>117</v>
      </c>
      <c r="C59" s="7" t="s">
        <v>17</v>
      </c>
      <c r="D59" s="23" t="s">
        <v>170</v>
      </c>
      <c r="E59" s="11">
        <v>10000</v>
      </c>
      <c r="F59" s="11"/>
      <c r="G59" s="11"/>
      <c r="H59" s="11">
        <v>10000</v>
      </c>
      <c r="I59" s="11">
        <v>20000</v>
      </c>
      <c r="J59" s="11"/>
      <c r="K59" s="11">
        <v>32000</v>
      </c>
      <c r="L59" s="11"/>
      <c r="M59" s="11"/>
      <c r="N59" s="11">
        <v>20000</v>
      </c>
      <c r="O59" s="11">
        <v>32000</v>
      </c>
      <c r="P59" s="11">
        <v>32000</v>
      </c>
      <c r="Q59" s="11"/>
      <c r="R59" s="11">
        <v>32000</v>
      </c>
      <c r="S59" s="11">
        <v>32000</v>
      </c>
      <c r="T59" s="11">
        <v>32000</v>
      </c>
      <c r="U59" s="11">
        <v>32000</v>
      </c>
      <c r="V59" s="11">
        <v>32000</v>
      </c>
      <c r="W59" s="11">
        <v>32000</v>
      </c>
      <c r="X59" s="11">
        <v>32000</v>
      </c>
      <c r="Y59" s="5">
        <f t="shared" si="1"/>
        <v>380000</v>
      </c>
      <c r="Z59" s="24"/>
    </row>
    <row r="60" spans="1:26" ht="27.95" customHeight="1" thickTop="1">
      <c r="A60" s="1" t="s">
        <v>118</v>
      </c>
      <c r="B60" s="25" t="s">
        <v>119</v>
      </c>
      <c r="C60" s="25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5">
        <f t="shared" si="1"/>
        <v>0</v>
      </c>
      <c r="Z60" s="28"/>
    </row>
    <row r="61" spans="1:26" ht="27.95" customHeight="1">
      <c r="A61" s="1" t="s">
        <v>120</v>
      </c>
      <c r="B61" s="7" t="s">
        <v>121</v>
      </c>
      <c r="C61" s="7"/>
      <c r="D61" s="14" t="s">
        <v>171</v>
      </c>
      <c r="E61" s="5">
        <f>E62+E63+E64+E65</f>
        <v>269</v>
      </c>
      <c r="F61" s="5">
        <f t="shared" ref="F61:X61" si="43">F62+F63+F64+F65</f>
        <v>92</v>
      </c>
      <c r="G61" s="5">
        <f t="shared" si="43"/>
        <v>76</v>
      </c>
      <c r="H61" s="5">
        <f t="shared" si="43"/>
        <v>100</v>
      </c>
      <c r="I61" s="5">
        <f t="shared" si="43"/>
        <v>356</v>
      </c>
      <c r="J61" s="5">
        <f t="shared" si="43"/>
        <v>60</v>
      </c>
      <c r="K61" s="5">
        <f t="shared" si="43"/>
        <v>134</v>
      </c>
      <c r="L61" s="5">
        <f t="shared" si="43"/>
        <v>57</v>
      </c>
      <c r="M61" s="5">
        <f t="shared" si="43"/>
        <v>128</v>
      </c>
      <c r="N61" s="5">
        <f t="shared" si="43"/>
        <v>98</v>
      </c>
      <c r="O61" s="5">
        <f t="shared" si="43"/>
        <v>44</v>
      </c>
      <c r="P61" s="5">
        <f t="shared" si="43"/>
        <v>48</v>
      </c>
      <c r="Q61" s="5">
        <f t="shared" si="43"/>
        <v>29</v>
      </c>
      <c r="R61" s="5">
        <f t="shared" si="43"/>
        <v>42</v>
      </c>
      <c r="S61" s="5">
        <f t="shared" si="43"/>
        <v>22</v>
      </c>
      <c r="T61" s="5">
        <f t="shared" si="43"/>
        <v>19</v>
      </c>
      <c r="U61" s="5">
        <f t="shared" si="43"/>
        <v>78</v>
      </c>
      <c r="V61" s="5">
        <f t="shared" si="43"/>
        <v>10</v>
      </c>
      <c r="W61" s="5">
        <f t="shared" si="43"/>
        <v>83</v>
      </c>
      <c r="X61" s="5">
        <f t="shared" si="43"/>
        <v>7</v>
      </c>
      <c r="Y61" s="5">
        <f t="shared" si="1"/>
        <v>1752</v>
      </c>
      <c r="Z61" s="9"/>
    </row>
    <row r="62" spans="1:26" ht="27.95" customHeight="1">
      <c r="A62" s="1" t="s">
        <v>122</v>
      </c>
      <c r="B62" s="29" t="s">
        <v>123</v>
      </c>
      <c r="C62" s="29"/>
      <c r="D62" s="3"/>
      <c r="E62" s="4">
        <v>269</v>
      </c>
      <c r="F62" s="4">
        <v>92</v>
      </c>
      <c r="G62" s="4">
        <v>76</v>
      </c>
      <c r="H62" s="4">
        <v>100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60</v>
      </c>
      <c r="X62" s="4"/>
      <c r="Y62" s="5">
        <f t="shared" si="1"/>
        <v>597</v>
      </c>
      <c r="Z62" s="9"/>
    </row>
    <row r="63" spans="1:26" ht="27.95" customHeight="1">
      <c r="A63" s="1" t="s">
        <v>124</v>
      </c>
      <c r="B63" s="29" t="s">
        <v>125</v>
      </c>
      <c r="C63" s="29"/>
      <c r="D63" s="14"/>
      <c r="E63" s="8"/>
      <c r="F63" s="8"/>
      <c r="G63" s="8"/>
      <c r="H63" s="8"/>
      <c r="I63" s="8">
        <v>356</v>
      </c>
      <c r="J63" s="8">
        <v>60</v>
      </c>
      <c r="K63" s="8">
        <v>134</v>
      </c>
      <c r="L63" s="8">
        <v>57</v>
      </c>
      <c r="M63" s="8">
        <v>128</v>
      </c>
      <c r="N63" s="8"/>
      <c r="O63" s="8"/>
      <c r="P63" s="8"/>
      <c r="Q63" s="8"/>
      <c r="R63" s="8"/>
      <c r="S63" s="8"/>
      <c r="T63" s="8"/>
      <c r="U63" s="8"/>
      <c r="V63" s="8"/>
      <c r="W63" s="8">
        <v>23</v>
      </c>
      <c r="X63" s="8"/>
      <c r="Y63" s="5">
        <f t="shared" si="1"/>
        <v>758</v>
      </c>
      <c r="Z63" s="9"/>
    </row>
    <row r="64" spans="1:26" ht="27.95" customHeight="1">
      <c r="A64" s="1" t="s">
        <v>126</v>
      </c>
      <c r="B64" s="29" t="s">
        <v>127</v>
      </c>
      <c r="C64" s="29"/>
      <c r="D64" s="3"/>
      <c r="E64" s="4"/>
      <c r="F64" s="4"/>
      <c r="G64" s="4"/>
      <c r="H64" s="4"/>
      <c r="I64" s="4"/>
      <c r="J64" s="4"/>
      <c r="K64" s="4"/>
      <c r="L64" s="4"/>
      <c r="M64" s="4"/>
      <c r="N64" s="4">
        <v>98</v>
      </c>
      <c r="O64" s="4">
        <v>44</v>
      </c>
      <c r="P64" s="4">
        <v>48</v>
      </c>
      <c r="Q64" s="4">
        <v>29</v>
      </c>
      <c r="R64" s="4">
        <v>42</v>
      </c>
      <c r="S64" s="4">
        <v>22</v>
      </c>
      <c r="T64" s="4">
        <v>19</v>
      </c>
      <c r="U64" s="4">
        <v>78</v>
      </c>
      <c r="V64" s="4">
        <v>10</v>
      </c>
      <c r="W64" s="4"/>
      <c r="X64" s="4"/>
      <c r="Y64" s="5">
        <f t="shared" si="1"/>
        <v>390</v>
      </c>
      <c r="Z64" s="9"/>
    </row>
    <row r="65" spans="1:26" ht="27.95" customHeight="1">
      <c r="A65" s="1" t="s">
        <v>128</v>
      </c>
      <c r="B65" s="29" t="s">
        <v>129</v>
      </c>
      <c r="C65" s="29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>
        <v>7</v>
      </c>
      <c r="Y65" s="5">
        <f t="shared" si="1"/>
        <v>7</v>
      </c>
      <c r="Z65" s="9"/>
    </row>
    <row r="66" spans="1:26" ht="27.95" customHeight="1">
      <c r="A66" s="1" t="s">
        <v>130</v>
      </c>
      <c r="B66" s="7" t="s">
        <v>131</v>
      </c>
      <c r="C66" s="7"/>
      <c r="D66" s="14" t="s">
        <v>172</v>
      </c>
      <c r="E66" s="5">
        <f>E67+E68+E69+E70</f>
        <v>3448</v>
      </c>
      <c r="F66" s="5">
        <f t="shared" ref="F66:X66" si="44">F67+F68+F69+F70</f>
        <v>1280</v>
      </c>
      <c r="G66" s="5">
        <f t="shared" si="44"/>
        <v>1053</v>
      </c>
      <c r="H66" s="5">
        <f t="shared" si="44"/>
        <v>1580</v>
      </c>
      <c r="I66" s="5">
        <f t="shared" si="44"/>
        <v>5697</v>
      </c>
      <c r="J66" s="5">
        <f t="shared" si="44"/>
        <v>788</v>
      </c>
      <c r="K66" s="5">
        <f t="shared" si="44"/>
        <v>2410</v>
      </c>
      <c r="L66" s="5">
        <f t="shared" si="44"/>
        <v>785</v>
      </c>
      <c r="M66" s="5">
        <f t="shared" si="44"/>
        <v>2110</v>
      </c>
      <c r="N66" s="5">
        <f t="shared" si="44"/>
        <v>1030</v>
      </c>
      <c r="O66" s="5">
        <f t="shared" si="44"/>
        <v>406</v>
      </c>
      <c r="P66" s="5">
        <f t="shared" si="44"/>
        <v>591</v>
      </c>
      <c r="Q66" s="5">
        <f t="shared" si="44"/>
        <v>346</v>
      </c>
      <c r="R66" s="5">
        <f t="shared" si="44"/>
        <v>402</v>
      </c>
      <c r="S66" s="5">
        <f t="shared" si="44"/>
        <v>271</v>
      </c>
      <c r="T66" s="5">
        <f t="shared" si="44"/>
        <v>229</v>
      </c>
      <c r="U66" s="5">
        <f t="shared" si="44"/>
        <v>626</v>
      </c>
      <c r="V66" s="5">
        <f t="shared" si="44"/>
        <v>115</v>
      </c>
      <c r="W66" s="5">
        <f t="shared" si="44"/>
        <v>1403</v>
      </c>
      <c r="X66" s="5">
        <f t="shared" si="44"/>
        <v>0</v>
      </c>
      <c r="Y66" s="5">
        <f t="shared" si="1"/>
        <v>24570</v>
      </c>
      <c r="Z66" s="9"/>
    </row>
    <row r="67" spans="1:26" ht="27.95" customHeight="1">
      <c r="A67" s="1" t="s">
        <v>132</v>
      </c>
      <c r="B67" s="29" t="s">
        <v>123</v>
      </c>
      <c r="C67" s="29"/>
      <c r="D67" s="3"/>
      <c r="E67" s="4">
        <v>3448</v>
      </c>
      <c r="F67" s="4">
        <v>1280</v>
      </c>
      <c r="G67" s="4">
        <v>1053</v>
      </c>
      <c r="H67" s="4">
        <v>1580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875</v>
      </c>
      <c r="X67" s="4"/>
      <c r="Y67" s="5">
        <f t="shared" ref="Y67:Y73" si="45">SUM(E67:X67)</f>
        <v>8236</v>
      </c>
      <c r="Z67" s="9"/>
    </row>
    <row r="68" spans="1:26" ht="27.95" customHeight="1">
      <c r="A68" s="1" t="s">
        <v>133</v>
      </c>
      <c r="B68" s="29" t="s">
        <v>125</v>
      </c>
      <c r="C68" s="29"/>
      <c r="D68" s="14"/>
      <c r="E68" s="8"/>
      <c r="F68" s="8"/>
      <c r="G68" s="8"/>
      <c r="H68" s="8"/>
      <c r="I68" s="8">
        <v>5697</v>
      </c>
      <c r="J68" s="8">
        <v>788</v>
      </c>
      <c r="K68" s="8">
        <v>2410</v>
      </c>
      <c r="L68" s="8">
        <v>785</v>
      </c>
      <c r="M68" s="8">
        <v>2110</v>
      </c>
      <c r="N68" s="8"/>
      <c r="O68" s="8"/>
      <c r="P68" s="8"/>
      <c r="Q68" s="8"/>
      <c r="R68" s="8"/>
      <c r="S68" s="8"/>
      <c r="T68" s="8"/>
      <c r="U68" s="8"/>
      <c r="V68" s="8"/>
      <c r="W68" s="8">
        <v>528</v>
      </c>
      <c r="X68" s="8"/>
      <c r="Y68" s="5">
        <f t="shared" si="45"/>
        <v>12318</v>
      </c>
      <c r="Z68" s="9"/>
    </row>
    <row r="69" spans="1:26" ht="27.95" customHeight="1">
      <c r="A69" s="1" t="s">
        <v>134</v>
      </c>
      <c r="B69" s="29" t="s">
        <v>127</v>
      </c>
      <c r="C69" s="29"/>
      <c r="D69" s="3"/>
      <c r="E69" s="4"/>
      <c r="F69" s="4"/>
      <c r="G69" s="4"/>
      <c r="H69" s="4"/>
      <c r="I69" s="4"/>
      <c r="J69" s="4"/>
      <c r="K69" s="4"/>
      <c r="L69" s="4"/>
      <c r="M69" s="4"/>
      <c r="N69" s="4">
        <v>1030</v>
      </c>
      <c r="O69" s="4">
        <v>406</v>
      </c>
      <c r="P69" s="4">
        <v>591</v>
      </c>
      <c r="Q69" s="4">
        <v>346</v>
      </c>
      <c r="R69" s="4">
        <v>402</v>
      </c>
      <c r="S69" s="4">
        <v>271</v>
      </c>
      <c r="T69" s="4">
        <v>229</v>
      </c>
      <c r="U69" s="4">
        <v>626</v>
      </c>
      <c r="V69" s="4">
        <v>115</v>
      </c>
      <c r="W69" s="4"/>
      <c r="X69" s="4"/>
      <c r="Y69" s="5">
        <f t="shared" si="45"/>
        <v>4016</v>
      </c>
      <c r="Z69" s="9"/>
    </row>
    <row r="70" spans="1:26" ht="27.95" customHeight="1">
      <c r="A70" s="1" t="s">
        <v>135</v>
      </c>
      <c r="B70" s="29" t="s">
        <v>129</v>
      </c>
      <c r="C70" s="29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5">
        <f t="shared" si="45"/>
        <v>0</v>
      </c>
      <c r="Z70" s="9"/>
    </row>
    <row r="71" spans="1:26" ht="27.95" customHeight="1">
      <c r="A71" s="1" t="s">
        <v>136</v>
      </c>
      <c r="B71" s="7" t="s">
        <v>173</v>
      </c>
      <c r="C71" s="7"/>
      <c r="D71" s="14"/>
      <c r="E71" s="8">
        <v>121</v>
      </c>
      <c r="F71" s="8">
        <v>48</v>
      </c>
      <c r="G71" s="8">
        <v>63</v>
      </c>
      <c r="H71" s="8">
        <v>1</v>
      </c>
      <c r="I71" s="8">
        <v>107</v>
      </c>
      <c r="J71" s="8">
        <v>34</v>
      </c>
      <c r="K71" s="8">
        <v>34</v>
      </c>
      <c r="L71" s="8">
        <v>23</v>
      </c>
      <c r="M71" s="8">
        <v>3</v>
      </c>
      <c r="N71" s="8">
        <v>44</v>
      </c>
      <c r="O71" s="8">
        <v>36</v>
      </c>
      <c r="P71" s="8">
        <v>1</v>
      </c>
      <c r="Q71" s="8"/>
      <c r="R71" s="8">
        <v>26</v>
      </c>
      <c r="S71" s="8"/>
      <c r="T71" s="8"/>
      <c r="U71" s="8">
        <v>2</v>
      </c>
      <c r="V71" s="8"/>
      <c r="W71" s="8">
        <v>13</v>
      </c>
      <c r="X71" s="8">
        <v>8</v>
      </c>
      <c r="Y71" s="5">
        <f t="shared" si="45"/>
        <v>564</v>
      </c>
      <c r="Z71" s="9"/>
    </row>
    <row r="72" spans="1:26" ht="27.95" customHeight="1">
      <c r="A72" s="1" t="s">
        <v>137</v>
      </c>
      <c r="B72" s="29" t="s">
        <v>174</v>
      </c>
      <c r="C72" s="29"/>
      <c r="D72" s="10"/>
      <c r="E72" s="8">
        <v>34506.629999999997</v>
      </c>
      <c r="F72" s="8">
        <v>13160</v>
      </c>
      <c r="G72" s="8">
        <v>8951.8799999999992</v>
      </c>
      <c r="H72" s="8">
        <v>11355.73</v>
      </c>
      <c r="I72" s="8">
        <v>34846.959999999999</v>
      </c>
      <c r="J72" s="8">
        <v>4631.83</v>
      </c>
      <c r="K72" s="8">
        <v>12756.42</v>
      </c>
      <c r="L72" s="8">
        <v>9285.57</v>
      </c>
      <c r="M72" s="8">
        <v>14358.21</v>
      </c>
      <c r="N72" s="8">
        <v>9829.07</v>
      </c>
      <c r="O72" s="8">
        <v>4286</v>
      </c>
      <c r="P72" s="8">
        <v>13349.34</v>
      </c>
      <c r="Q72" s="8">
        <v>3731.92</v>
      </c>
      <c r="R72" s="8">
        <v>4612</v>
      </c>
      <c r="S72" s="8">
        <v>6500</v>
      </c>
      <c r="T72" s="8">
        <v>6995</v>
      </c>
      <c r="U72" s="8">
        <v>13200</v>
      </c>
      <c r="V72" s="8">
        <v>6600</v>
      </c>
      <c r="W72" s="8">
        <v>32277.200000000001</v>
      </c>
      <c r="X72" s="8">
        <v>2800</v>
      </c>
      <c r="Y72" s="5">
        <f t="shared" si="45"/>
        <v>248033.76</v>
      </c>
      <c r="Z72" s="9"/>
    </row>
    <row r="73" spans="1:26" ht="27.95" customHeight="1">
      <c r="A73" s="1" t="s">
        <v>138</v>
      </c>
      <c r="B73" s="29" t="s">
        <v>175</v>
      </c>
      <c r="C73" s="29"/>
      <c r="D73" s="10"/>
      <c r="E73" s="8">
        <v>17447</v>
      </c>
      <c r="F73" s="8">
        <v>8691</v>
      </c>
      <c r="G73" s="8">
        <v>6496</v>
      </c>
      <c r="H73" s="8">
        <v>4073</v>
      </c>
      <c r="I73" s="8">
        <v>12339</v>
      </c>
      <c r="J73" s="8">
        <v>3226</v>
      </c>
      <c r="K73" s="8">
        <v>6620</v>
      </c>
      <c r="L73" s="8">
        <v>3585</v>
      </c>
      <c r="M73" s="8">
        <v>7880</v>
      </c>
      <c r="N73" s="8">
        <v>5330</v>
      </c>
      <c r="O73" s="8">
        <v>2350</v>
      </c>
      <c r="P73" s="8">
        <v>6044.7</v>
      </c>
      <c r="Q73" s="8">
        <v>1786</v>
      </c>
      <c r="R73" s="8">
        <v>1717</v>
      </c>
      <c r="S73" s="8">
        <v>2312.1</v>
      </c>
      <c r="T73" s="8">
        <v>3698.1</v>
      </c>
      <c r="U73" s="8">
        <v>4100</v>
      </c>
      <c r="V73" s="8">
        <v>2312.4499999999998</v>
      </c>
      <c r="W73" s="8">
        <v>17204.3</v>
      </c>
      <c r="X73" s="8"/>
      <c r="Y73" s="5">
        <f t="shared" si="45"/>
        <v>117211.65000000001</v>
      </c>
      <c r="Z73" s="9"/>
    </row>
    <row r="74" spans="1:26">
      <c r="E74" s="6">
        <f>E4/E61</f>
        <v>398845.21494423796</v>
      </c>
      <c r="F74" s="6">
        <f t="shared" ref="F74:Y74" si="46">F4/F61</f>
        <v>386705.13163043477</v>
      </c>
      <c r="G74" s="6">
        <f t="shared" si="46"/>
        <v>385349.24513157899</v>
      </c>
      <c r="H74" s="6">
        <f t="shared" si="46"/>
        <v>382833.51009999996</v>
      </c>
      <c r="I74" s="6">
        <f t="shared" si="46"/>
        <v>374391.40991573036</v>
      </c>
      <c r="J74" s="6">
        <f t="shared" si="46"/>
        <v>380335.61566666665</v>
      </c>
      <c r="K74" s="6">
        <f t="shared" si="46"/>
        <v>372864.08029850747</v>
      </c>
      <c r="L74" s="6">
        <f t="shared" si="46"/>
        <v>388088.83964912279</v>
      </c>
      <c r="M74" s="6">
        <f t="shared" si="46"/>
        <v>375986.86695312499</v>
      </c>
      <c r="N74" s="6">
        <f t="shared" si="46"/>
        <v>341752.48663265305</v>
      </c>
      <c r="O74" s="6">
        <f t="shared" si="46"/>
        <v>343120.09772727272</v>
      </c>
      <c r="P74" s="6">
        <f t="shared" si="46"/>
        <v>329421.10249999998</v>
      </c>
      <c r="Q74" s="6">
        <f t="shared" si="46"/>
        <v>342020.46827586205</v>
      </c>
      <c r="R74" s="6">
        <f t="shared" si="46"/>
        <v>342193.46404761903</v>
      </c>
      <c r="S74" s="6">
        <f t="shared" si="46"/>
        <v>317309.80363636365</v>
      </c>
      <c r="T74" s="6">
        <f t="shared" si="46"/>
        <v>330438.33789473685</v>
      </c>
      <c r="U74" s="6">
        <f t="shared" si="46"/>
        <v>346122.96769230772</v>
      </c>
      <c r="V74" s="6">
        <f t="shared" si="46"/>
        <v>330188.81400000001</v>
      </c>
      <c r="W74" s="6">
        <f t="shared" si="46"/>
        <v>359249.74650602409</v>
      </c>
      <c r="X74" s="6">
        <f t="shared" si="46"/>
        <v>377994.94142857142</v>
      </c>
      <c r="Y74" s="6">
        <f t="shared" si="46"/>
        <v>371840.78440639266</v>
      </c>
    </row>
  </sheetData>
  <protectedRanges>
    <protectedRange password="E9C1" sqref="D29 C30 A4:D5 B6:D28 A2:Z3 B31:D73 Y4:Z73 A6:A73" name="区域1_1_2"/>
    <protectedRange password="E9C1" sqref="B29:C29 B30" name="区域1_1_1_1"/>
    <protectedRange password="E9C1" sqref="D30" name="区域1_2_1"/>
  </protectedRanges>
  <mergeCells count="1">
    <mergeCell ref="A1:Z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0" orientation="landscape" verticalDpi="0" r:id="rId1"/>
  <headerFooter>
    <oddFooter>第 &amp;P 页，共 &amp;N 页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opLeftCell="B1" workbookViewId="0">
      <pane xSplit="4" ySplit="3" topLeftCell="F4" activePane="bottomRight" state="frozen"/>
      <selection activeCell="O58" sqref="O58"/>
      <selection pane="topRight" activeCell="O58" sqref="O58"/>
      <selection pane="bottomLeft" activeCell="O58" sqref="O58"/>
      <selection pane="bottomRight" activeCell="O58" sqref="O58"/>
    </sheetView>
  </sheetViews>
  <sheetFormatPr defaultRowHeight="13.5"/>
  <cols>
    <col min="1" max="1" width="0" hidden="1" customWidth="1"/>
    <col min="2" max="2" width="25.625" customWidth="1"/>
    <col min="3" max="3" width="6.5" hidden="1" customWidth="1"/>
    <col min="4" max="5" width="0" hidden="1" customWidth="1"/>
    <col min="6" max="17" width="12.625" customWidth="1"/>
  </cols>
  <sheetData>
    <row r="1" spans="1:17" ht="20.25">
      <c r="A1" s="187" t="s">
        <v>360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>
      <c r="A2" s="189" t="s">
        <v>245</v>
      </c>
      <c r="B2" s="191" t="s">
        <v>348</v>
      </c>
      <c r="C2" s="191" t="s">
        <v>3</v>
      </c>
      <c r="D2" s="192" t="s">
        <v>349</v>
      </c>
      <c r="E2" s="193" t="s">
        <v>327</v>
      </c>
      <c r="F2" s="194" t="s">
        <v>361</v>
      </c>
      <c r="G2" s="195"/>
      <c r="H2" s="195"/>
      <c r="I2" s="195"/>
      <c r="J2" s="194" t="s">
        <v>362</v>
      </c>
      <c r="K2" s="195"/>
      <c r="L2" s="195"/>
      <c r="M2" s="195"/>
      <c r="N2" s="194" t="s">
        <v>350</v>
      </c>
      <c r="O2" s="195"/>
      <c r="P2" s="195"/>
      <c r="Q2" s="195"/>
    </row>
    <row r="3" spans="1:17" ht="22.5">
      <c r="A3" s="190"/>
      <c r="B3" s="190"/>
      <c r="C3" s="190"/>
      <c r="D3" s="190"/>
      <c r="E3" s="190"/>
      <c r="F3" s="97" t="s">
        <v>351</v>
      </c>
      <c r="G3" s="98" t="s">
        <v>352</v>
      </c>
      <c r="H3" s="99" t="s">
        <v>353</v>
      </c>
      <c r="I3" s="99" t="s">
        <v>354</v>
      </c>
      <c r="J3" s="97" t="s">
        <v>351</v>
      </c>
      <c r="K3" s="98" t="s">
        <v>352</v>
      </c>
      <c r="L3" s="99" t="s">
        <v>353</v>
      </c>
      <c r="M3" s="99" t="s">
        <v>354</v>
      </c>
      <c r="N3" s="97" t="s">
        <v>351</v>
      </c>
      <c r="O3" s="98" t="s">
        <v>352</v>
      </c>
      <c r="P3" s="99" t="s">
        <v>353</v>
      </c>
      <c r="Q3" s="99" t="s">
        <v>354</v>
      </c>
    </row>
    <row r="4" spans="1:17" s="104" customFormat="1" ht="20.100000000000001" customHeight="1">
      <c r="A4" s="96" t="s">
        <v>2</v>
      </c>
      <c r="B4" s="100" t="s">
        <v>201</v>
      </c>
      <c r="C4" s="100">
        <v>1</v>
      </c>
      <c r="D4" s="100" t="s">
        <v>355</v>
      </c>
      <c r="E4" s="100" t="s">
        <v>197</v>
      </c>
      <c r="F4" s="101">
        <v>15025680</v>
      </c>
      <c r="G4" s="101">
        <v>313796</v>
      </c>
      <c r="H4" s="102">
        <v>1148519</v>
      </c>
      <c r="I4" s="102">
        <f t="shared" ref="I4:I23" si="0">F4+H4</f>
        <v>16174199</v>
      </c>
      <c r="J4" s="103">
        <v>15456210</v>
      </c>
      <c r="K4" s="103">
        <v>303796</v>
      </c>
      <c r="L4" s="103">
        <v>1051450</v>
      </c>
      <c r="M4" s="103">
        <f t="shared" ref="M4:M23" si="1">J4+L4</f>
        <v>16507660</v>
      </c>
      <c r="N4" s="103">
        <f t="shared" ref="N4:Q23" si="2">F4-J4</f>
        <v>-430530</v>
      </c>
      <c r="O4" s="103">
        <f t="shared" ref="O4:Q7" si="3">G4-K4</f>
        <v>10000</v>
      </c>
      <c r="P4" s="103">
        <f t="shared" si="3"/>
        <v>97069</v>
      </c>
      <c r="Q4" s="103">
        <f t="shared" si="3"/>
        <v>-333461</v>
      </c>
    </row>
    <row r="5" spans="1:17" s="104" customFormat="1" ht="20.100000000000001" customHeight="1">
      <c r="A5" s="96" t="s">
        <v>2</v>
      </c>
      <c r="B5" s="100" t="s">
        <v>202</v>
      </c>
      <c r="C5" s="100">
        <v>2</v>
      </c>
      <c r="D5" s="100" t="s">
        <v>355</v>
      </c>
      <c r="E5" s="100" t="s">
        <v>197</v>
      </c>
      <c r="F5" s="101">
        <v>53466345.000000007</v>
      </c>
      <c r="G5" s="101">
        <v>709378</v>
      </c>
      <c r="H5" s="102">
        <v>4486983.5</v>
      </c>
      <c r="I5" s="102">
        <f t="shared" si="0"/>
        <v>57953328.500000007</v>
      </c>
      <c r="J5" s="103">
        <v>54799290</v>
      </c>
      <c r="K5" s="103">
        <v>698658</v>
      </c>
      <c r="L5" s="103">
        <v>4854298.5</v>
      </c>
      <c r="M5" s="103">
        <f t="shared" si="1"/>
        <v>59653588.5</v>
      </c>
      <c r="N5" s="103">
        <f t="shared" si="2"/>
        <v>-1332944.9999999925</v>
      </c>
      <c r="O5" s="103">
        <f t="shared" si="3"/>
        <v>10720</v>
      </c>
      <c r="P5" s="103">
        <f t="shared" si="3"/>
        <v>-367315</v>
      </c>
      <c r="Q5" s="103">
        <f t="shared" si="3"/>
        <v>-1700259.9999999925</v>
      </c>
    </row>
    <row r="6" spans="1:17" s="104" customFormat="1" ht="20.100000000000001" customHeight="1">
      <c r="A6" s="96" t="s">
        <v>2</v>
      </c>
      <c r="B6" s="100" t="s">
        <v>203</v>
      </c>
      <c r="C6" s="100">
        <v>3</v>
      </c>
      <c r="D6" s="100" t="s">
        <v>355</v>
      </c>
      <c r="E6" s="100" t="s">
        <v>197</v>
      </c>
      <c r="F6" s="101">
        <v>18500197</v>
      </c>
      <c r="G6" s="101">
        <v>292776</v>
      </c>
      <c r="H6" s="102">
        <v>1012388.25</v>
      </c>
      <c r="I6" s="102">
        <f t="shared" si="0"/>
        <v>19512585.25</v>
      </c>
      <c r="J6" s="103">
        <v>18768255</v>
      </c>
      <c r="K6" s="103">
        <v>285776</v>
      </c>
      <c r="L6" s="103">
        <v>976140.75</v>
      </c>
      <c r="M6" s="103">
        <f t="shared" si="1"/>
        <v>19744395.75</v>
      </c>
      <c r="N6" s="103">
        <f t="shared" si="2"/>
        <v>-268058</v>
      </c>
      <c r="O6" s="103">
        <f t="shared" si="3"/>
        <v>7000</v>
      </c>
      <c r="P6" s="103">
        <f t="shared" si="3"/>
        <v>36247.5</v>
      </c>
      <c r="Q6" s="103">
        <f t="shared" si="3"/>
        <v>-231810.5</v>
      </c>
    </row>
    <row r="7" spans="1:17" s="104" customFormat="1" ht="20.100000000000001" customHeight="1">
      <c r="A7" s="96" t="s">
        <v>2</v>
      </c>
      <c r="B7" s="100" t="s">
        <v>204</v>
      </c>
      <c r="C7" s="100">
        <v>4</v>
      </c>
      <c r="D7" s="100" t="s">
        <v>355</v>
      </c>
      <c r="E7" s="100" t="s">
        <v>197</v>
      </c>
      <c r="F7" s="101">
        <v>19949322</v>
      </c>
      <c r="G7" s="101">
        <v>310644</v>
      </c>
      <c r="H7" s="102">
        <v>1631335.5</v>
      </c>
      <c r="I7" s="102">
        <f t="shared" si="0"/>
        <v>21580657.5</v>
      </c>
      <c r="J7" s="103">
        <v>19972635</v>
      </c>
      <c r="K7" s="103">
        <v>305644</v>
      </c>
      <c r="L7" s="103">
        <v>1622153</v>
      </c>
      <c r="M7" s="103">
        <f t="shared" si="1"/>
        <v>21594788</v>
      </c>
      <c r="N7" s="103">
        <f t="shared" si="2"/>
        <v>-23313</v>
      </c>
      <c r="O7" s="103">
        <f t="shared" si="3"/>
        <v>5000</v>
      </c>
      <c r="P7" s="103">
        <f t="shared" si="3"/>
        <v>9182.5</v>
      </c>
      <c r="Q7" s="103">
        <f t="shared" si="3"/>
        <v>-14130.5</v>
      </c>
    </row>
    <row r="8" spans="1:17" s="104" customFormat="1" ht="20.100000000000001" customHeight="1">
      <c r="A8" s="96" t="s">
        <v>2</v>
      </c>
      <c r="B8" s="100" t="s">
        <v>358</v>
      </c>
      <c r="C8" s="100">
        <v>5</v>
      </c>
      <c r="D8" s="100" t="s">
        <v>355</v>
      </c>
      <c r="E8" s="100" t="s">
        <v>198</v>
      </c>
      <c r="F8" s="101">
        <v>11641785</v>
      </c>
      <c r="G8" s="101">
        <v>262472</v>
      </c>
      <c r="H8" s="102">
        <v>765039.5</v>
      </c>
      <c r="I8" s="102">
        <f t="shared" si="0"/>
        <v>12406824.5</v>
      </c>
      <c r="J8" s="103">
        <v>12645990</v>
      </c>
      <c r="K8" s="103">
        <v>257472</v>
      </c>
      <c r="L8" s="103">
        <v>882154</v>
      </c>
      <c r="M8" s="103">
        <f t="shared" si="1"/>
        <v>13528144</v>
      </c>
      <c r="N8" s="103">
        <f t="shared" si="2"/>
        <v>-1004205</v>
      </c>
      <c r="O8" s="103">
        <f t="shared" si="2"/>
        <v>5000</v>
      </c>
      <c r="P8" s="103">
        <f t="shared" si="2"/>
        <v>-117114.5</v>
      </c>
      <c r="Q8" s="103">
        <f t="shared" si="2"/>
        <v>-1121319.5</v>
      </c>
    </row>
    <row r="9" spans="1:17" s="104" customFormat="1" ht="20.100000000000001" customHeight="1">
      <c r="A9" s="96" t="s">
        <v>2</v>
      </c>
      <c r="B9" s="100" t="s">
        <v>205</v>
      </c>
      <c r="C9" s="100">
        <v>6</v>
      </c>
      <c r="D9" s="100" t="s">
        <v>355</v>
      </c>
      <c r="E9" s="100" t="s">
        <v>199</v>
      </c>
      <c r="F9" s="101">
        <v>10757893</v>
      </c>
      <c r="G9" s="101">
        <v>501805</v>
      </c>
      <c r="H9" s="102">
        <v>530820</v>
      </c>
      <c r="I9" s="102">
        <f t="shared" si="0"/>
        <v>11288713</v>
      </c>
      <c r="J9" s="103">
        <v>11742705</v>
      </c>
      <c r="K9" s="103">
        <v>478348</v>
      </c>
      <c r="L9" s="103">
        <v>545416.5</v>
      </c>
      <c r="M9" s="103">
        <f t="shared" si="1"/>
        <v>12288121.5</v>
      </c>
      <c r="N9" s="103">
        <f t="shared" si="2"/>
        <v>-984812</v>
      </c>
      <c r="O9" s="103">
        <f t="shared" si="2"/>
        <v>23457</v>
      </c>
      <c r="P9" s="103">
        <f t="shared" si="2"/>
        <v>-14596.5</v>
      </c>
      <c r="Q9" s="103">
        <f t="shared" si="2"/>
        <v>-999408.5</v>
      </c>
    </row>
    <row r="10" spans="1:17" s="104" customFormat="1" ht="20.100000000000001" customHeight="1">
      <c r="A10" s="96" t="s">
        <v>2</v>
      </c>
      <c r="B10" s="100" t="s">
        <v>206</v>
      </c>
      <c r="C10" s="100">
        <v>7</v>
      </c>
      <c r="D10" s="100" t="s">
        <v>355</v>
      </c>
      <c r="E10" s="100" t="s">
        <v>199</v>
      </c>
      <c r="F10" s="101">
        <v>65024972</v>
      </c>
      <c r="G10" s="101">
        <v>749028</v>
      </c>
      <c r="H10" s="102">
        <v>3409685</v>
      </c>
      <c r="I10" s="102">
        <f t="shared" si="0"/>
        <v>68434657</v>
      </c>
      <c r="J10" s="103">
        <v>70054770</v>
      </c>
      <c r="K10" s="103">
        <v>739028</v>
      </c>
      <c r="L10" s="103">
        <v>3365004.5</v>
      </c>
      <c r="M10" s="103">
        <f t="shared" si="1"/>
        <v>73419774.5</v>
      </c>
      <c r="N10" s="103">
        <f t="shared" si="2"/>
        <v>-5029798</v>
      </c>
      <c r="O10" s="103">
        <f t="shared" si="2"/>
        <v>10000</v>
      </c>
      <c r="P10" s="103">
        <f t="shared" si="2"/>
        <v>44680.5</v>
      </c>
      <c r="Q10" s="103">
        <f t="shared" si="2"/>
        <v>-4985117.5</v>
      </c>
    </row>
    <row r="11" spans="1:17" s="104" customFormat="1" ht="20.100000000000001" customHeight="1">
      <c r="A11" s="96" t="s">
        <v>2</v>
      </c>
      <c r="B11" s="100" t="s">
        <v>207</v>
      </c>
      <c r="C11" s="100">
        <v>8</v>
      </c>
      <c r="D11" s="100" t="s">
        <v>355</v>
      </c>
      <c r="E11" s="100" t="s">
        <v>199</v>
      </c>
      <c r="F11" s="101">
        <v>11601850</v>
      </c>
      <c r="G11" s="101">
        <v>523184</v>
      </c>
      <c r="H11" s="102">
        <v>486813.5</v>
      </c>
      <c r="I11" s="102">
        <f t="shared" si="0"/>
        <v>12088663.5</v>
      </c>
      <c r="J11" s="103">
        <v>12244530</v>
      </c>
      <c r="K11" s="103">
        <v>513184</v>
      </c>
      <c r="L11" s="103">
        <v>493688</v>
      </c>
      <c r="M11" s="103">
        <f t="shared" si="1"/>
        <v>12738218</v>
      </c>
      <c r="N11" s="103">
        <f t="shared" si="2"/>
        <v>-642680</v>
      </c>
      <c r="O11" s="103">
        <f t="shared" si="2"/>
        <v>10000</v>
      </c>
      <c r="P11" s="103">
        <f t="shared" si="2"/>
        <v>-6874.5</v>
      </c>
      <c r="Q11" s="103">
        <f t="shared" si="2"/>
        <v>-649554.5</v>
      </c>
    </row>
    <row r="12" spans="1:17" s="104" customFormat="1" ht="20.100000000000001" customHeight="1">
      <c r="A12" s="96" t="s">
        <v>2</v>
      </c>
      <c r="B12" s="100" t="s">
        <v>208</v>
      </c>
      <c r="C12" s="100">
        <v>9</v>
      </c>
      <c r="D12" s="100" t="s">
        <v>355</v>
      </c>
      <c r="E12" s="100" t="s">
        <v>199</v>
      </c>
      <c r="F12" s="109">
        <f>25224456-3600</f>
        <v>25220856</v>
      </c>
      <c r="G12" s="101">
        <v>671484</v>
      </c>
      <c r="H12" s="102">
        <v>1708220</v>
      </c>
      <c r="I12" s="102">
        <f t="shared" si="0"/>
        <v>26929076</v>
      </c>
      <c r="J12" s="103">
        <v>27198915</v>
      </c>
      <c r="K12" s="103">
        <v>661484</v>
      </c>
      <c r="L12" s="103">
        <v>1701018</v>
      </c>
      <c r="M12" s="103">
        <f t="shared" si="1"/>
        <v>28899933</v>
      </c>
      <c r="N12" s="103">
        <f t="shared" si="2"/>
        <v>-1978059</v>
      </c>
      <c r="O12" s="103">
        <f t="shared" si="2"/>
        <v>10000</v>
      </c>
      <c r="P12" s="103">
        <f t="shared" si="2"/>
        <v>7202</v>
      </c>
      <c r="Q12" s="103">
        <f t="shared" si="2"/>
        <v>-1970857</v>
      </c>
    </row>
    <row r="13" spans="1:17" s="104" customFormat="1" ht="20.100000000000001" customHeight="1">
      <c r="A13" s="96" t="s">
        <v>2</v>
      </c>
      <c r="B13" s="100" t="s">
        <v>209</v>
      </c>
      <c r="C13" s="100">
        <v>10</v>
      </c>
      <c r="D13" s="100" t="s">
        <v>355</v>
      </c>
      <c r="E13" s="100" t="s">
        <v>199</v>
      </c>
      <c r="F13" s="101">
        <v>23447278</v>
      </c>
      <c r="G13" s="101">
        <v>293820</v>
      </c>
      <c r="H13" s="102">
        <v>953292</v>
      </c>
      <c r="I13" s="102">
        <f t="shared" si="0"/>
        <v>24400570</v>
      </c>
      <c r="J13" s="103">
        <v>25291980</v>
      </c>
      <c r="K13" s="103">
        <v>288820</v>
      </c>
      <c r="L13" s="103">
        <v>746595.5</v>
      </c>
      <c r="M13" s="103">
        <f t="shared" si="1"/>
        <v>26038575.5</v>
      </c>
      <c r="N13" s="103">
        <f t="shared" si="2"/>
        <v>-1844702</v>
      </c>
      <c r="O13" s="103">
        <f t="shared" si="2"/>
        <v>5000</v>
      </c>
      <c r="P13" s="103">
        <f t="shared" si="2"/>
        <v>206696.5</v>
      </c>
      <c r="Q13" s="103">
        <f t="shared" si="2"/>
        <v>-1638005.5</v>
      </c>
    </row>
    <row r="14" spans="1:17" s="104" customFormat="1" ht="20.100000000000001" customHeight="1">
      <c r="A14" s="96" t="s">
        <v>2</v>
      </c>
      <c r="B14" s="100" t="s">
        <v>218</v>
      </c>
      <c r="C14" s="100">
        <v>11</v>
      </c>
      <c r="D14" s="100" t="s">
        <v>356</v>
      </c>
      <c r="E14" s="100" t="s">
        <v>357</v>
      </c>
      <c r="F14" s="101">
        <v>1426850</v>
      </c>
      <c r="G14" s="101"/>
      <c r="H14" s="102"/>
      <c r="I14" s="102">
        <f t="shared" si="0"/>
        <v>1426850</v>
      </c>
      <c r="J14" s="103">
        <v>1365910</v>
      </c>
      <c r="K14" s="103"/>
      <c r="L14" s="103"/>
      <c r="M14" s="103">
        <f t="shared" si="1"/>
        <v>1365910</v>
      </c>
      <c r="N14" s="103">
        <f t="shared" si="2"/>
        <v>60940</v>
      </c>
      <c r="O14" s="103">
        <f t="shared" si="2"/>
        <v>0</v>
      </c>
      <c r="P14" s="103">
        <f t="shared" si="2"/>
        <v>0</v>
      </c>
      <c r="Q14" s="103">
        <f t="shared" si="2"/>
        <v>60940</v>
      </c>
    </row>
    <row r="15" spans="1:17" s="104" customFormat="1" ht="20.100000000000001" customHeight="1">
      <c r="A15" s="96" t="s">
        <v>2</v>
      </c>
      <c r="B15" s="100" t="s">
        <v>210</v>
      </c>
      <c r="C15" s="100">
        <v>12</v>
      </c>
      <c r="D15" s="100" t="s">
        <v>356</v>
      </c>
      <c r="E15" s="100" t="s">
        <v>200</v>
      </c>
      <c r="F15" s="101">
        <v>6816208</v>
      </c>
      <c r="G15" s="101">
        <v>252004</v>
      </c>
      <c r="H15" s="102"/>
      <c r="I15" s="102">
        <f t="shared" si="0"/>
        <v>6816208</v>
      </c>
      <c r="J15" s="103">
        <v>7821275</v>
      </c>
      <c r="K15" s="103">
        <v>247004</v>
      </c>
      <c r="L15" s="103"/>
      <c r="M15" s="103">
        <f t="shared" si="1"/>
        <v>7821275</v>
      </c>
      <c r="N15" s="103">
        <f t="shared" si="2"/>
        <v>-1005067</v>
      </c>
      <c r="O15" s="103">
        <f t="shared" si="2"/>
        <v>5000</v>
      </c>
      <c r="P15" s="103">
        <f t="shared" si="2"/>
        <v>0</v>
      </c>
      <c r="Q15" s="103">
        <f t="shared" si="2"/>
        <v>-1005067</v>
      </c>
    </row>
    <row r="16" spans="1:17" s="104" customFormat="1" ht="20.100000000000001" customHeight="1">
      <c r="A16" s="96" t="s">
        <v>2</v>
      </c>
      <c r="B16" s="100" t="s">
        <v>211</v>
      </c>
      <c r="C16" s="100">
        <v>13</v>
      </c>
      <c r="D16" s="100" t="s">
        <v>356</v>
      </c>
      <c r="E16" s="100" t="s">
        <v>200</v>
      </c>
      <c r="F16" s="101">
        <v>16129323</v>
      </c>
      <c r="G16" s="101">
        <v>341944</v>
      </c>
      <c r="H16" s="102"/>
      <c r="I16" s="102">
        <f t="shared" si="0"/>
        <v>16129323</v>
      </c>
      <c r="J16" s="103">
        <v>18034940</v>
      </c>
      <c r="K16" s="103">
        <v>336944</v>
      </c>
      <c r="L16" s="103"/>
      <c r="M16" s="103">
        <f t="shared" si="1"/>
        <v>18034940</v>
      </c>
      <c r="N16" s="103">
        <f t="shared" si="2"/>
        <v>-1905617</v>
      </c>
      <c r="O16" s="103">
        <f t="shared" si="2"/>
        <v>5000</v>
      </c>
      <c r="P16" s="103">
        <f t="shared" si="2"/>
        <v>0</v>
      </c>
      <c r="Q16" s="103">
        <f t="shared" si="2"/>
        <v>-1905617</v>
      </c>
    </row>
    <row r="17" spans="1:17" s="104" customFormat="1" ht="20.100000000000001" customHeight="1">
      <c r="A17" s="96" t="s">
        <v>2</v>
      </c>
      <c r="B17" s="100" t="s">
        <v>212</v>
      </c>
      <c r="C17" s="100">
        <v>14</v>
      </c>
      <c r="D17" s="100" t="s">
        <v>356</v>
      </c>
      <c r="E17" s="100" t="s">
        <v>200</v>
      </c>
      <c r="F17" s="101">
        <v>7224290</v>
      </c>
      <c r="G17" s="101">
        <v>249556</v>
      </c>
      <c r="H17" s="102"/>
      <c r="I17" s="102">
        <f t="shared" si="0"/>
        <v>7224290</v>
      </c>
      <c r="J17" s="103">
        <v>8189335</v>
      </c>
      <c r="K17" s="103">
        <v>244556</v>
      </c>
      <c r="L17" s="103"/>
      <c r="M17" s="103">
        <f t="shared" si="1"/>
        <v>8189335</v>
      </c>
      <c r="N17" s="103">
        <f t="shared" si="2"/>
        <v>-965045</v>
      </c>
      <c r="O17" s="103">
        <f t="shared" si="2"/>
        <v>5000</v>
      </c>
      <c r="P17" s="103">
        <f t="shared" si="2"/>
        <v>0</v>
      </c>
      <c r="Q17" s="103">
        <f t="shared" si="2"/>
        <v>-965045</v>
      </c>
    </row>
    <row r="18" spans="1:17" s="104" customFormat="1" ht="20.100000000000001" customHeight="1">
      <c r="A18" s="96" t="s">
        <v>2</v>
      </c>
      <c r="B18" s="100" t="s">
        <v>213</v>
      </c>
      <c r="C18" s="100">
        <v>15</v>
      </c>
      <c r="D18" s="100" t="s">
        <v>356</v>
      </c>
      <c r="E18" s="100" t="s">
        <v>200</v>
      </c>
      <c r="F18" s="101">
        <v>8062398</v>
      </c>
      <c r="G18" s="101">
        <v>251064</v>
      </c>
      <c r="H18" s="102"/>
      <c r="I18" s="102">
        <f t="shared" si="0"/>
        <v>8062398</v>
      </c>
      <c r="J18" s="103">
        <v>8833440</v>
      </c>
      <c r="K18" s="103">
        <v>246064</v>
      </c>
      <c r="L18" s="103"/>
      <c r="M18" s="103">
        <f t="shared" si="1"/>
        <v>8833440</v>
      </c>
      <c r="N18" s="103">
        <f t="shared" si="2"/>
        <v>-771042</v>
      </c>
      <c r="O18" s="103">
        <f t="shared" si="2"/>
        <v>5000</v>
      </c>
      <c r="P18" s="103">
        <f t="shared" si="2"/>
        <v>0</v>
      </c>
      <c r="Q18" s="103">
        <f t="shared" si="2"/>
        <v>-771042</v>
      </c>
    </row>
    <row r="19" spans="1:17" s="104" customFormat="1" ht="20.100000000000001" customHeight="1">
      <c r="A19" s="96" t="s">
        <v>2</v>
      </c>
      <c r="B19" s="100" t="s">
        <v>215</v>
      </c>
      <c r="C19" s="100">
        <v>16</v>
      </c>
      <c r="D19" s="100" t="s">
        <v>356</v>
      </c>
      <c r="E19" s="100" t="s">
        <v>200</v>
      </c>
      <c r="F19" s="101">
        <v>4982236</v>
      </c>
      <c r="G19" s="101">
        <v>256836</v>
      </c>
      <c r="H19" s="102"/>
      <c r="I19" s="102">
        <f t="shared" si="0"/>
        <v>4982236</v>
      </c>
      <c r="J19" s="103">
        <v>5336870</v>
      </c>
      <c r="K19" s="103">
        <v>251836</v>
      </c>
      <c r="L19" s="103"/>
      <c r="M19" s="103">
        <f t="shared" si="1"/>
        <v>5336870</v>
      </c>
      <c r="N19" s="103">
        <f t="shared" si="2"/>
        <v>-354634</v>
      </c>
      <c r="O19" s="103">
        <f t="shared" si="2"/>
        <v>5000</v>
      </c>
      <c r="P19" s="103">
        <f t="shared" si="2"/>
        <v>0</v>
      </c>
      <c r="Q19" s="103">
        <f t="shared" si="2"/>
        <v>-354634</v>
      </c>
    </row>
    <row r="20" spans="1:17" s="104" customFormat="1" ht="20.100000000000001" customHeight="1">
      <c r="A20" s="96" t="s">
        <v>2</v>
      </c>
      <c r="B20" s="97" t="s">
        <v>214</v>
      </c>
      <c r="C20" s="100">
        <v>17</v>
      </c>
      <c r="D20" s="100" t="s">
        <v>356</v>
      </c>
      <c r="E20" s="100" t="s">
        <v>200</v>
      </c>
      <c r="F20" s="101">
        <v>3548075</v>
      </c>
      <c r="G20" s="101"/>
      <c r="H20" s="102"/>
      <c r="I20" s="102">
        <f t="shared" si="0"/>
        <v>3548075</v>
      </c>
      <c r="J20" s="103">
        <v>3956645</v>
      </c>
      <c r="K20" s="103"/>
      <c r="L20" s="103"/>
      <c r="M20" s="103">
        <f t="shared" si="1"/>
        <v>3956645</v>
      </c>
      <c r="N20" s="103">
        <f t="shared" si="2"/>
        <v>-408570</v>
      </c>
      <c r="O20" s="103">
        <f t="shared" si="2"/>
        <v>0</v>
      </c>
      <c r="P20" s="103">
        <f t="shared" si="2"/>
        <v>0</v>
      </c>
      <c r="Q20" s="103">
        <f t="shared" si="2"/>
        <v>-408570</v>
      </c>
    </row>
    <row r="21" spans="1:17" s="104" customFormat="1" ht="20.100000000000001" customHeight="1">
      <c r="A21" s="96" t="s">
        <v>2</v>
      </c>
      <c r="B21" s="97" t="s">
        <v>359</v>
      </c>
      <c r="C21" s="100">
        <v>18</v>
      </c>
      <c r="D21" s="100" t="s">
        <v>356</v>
      </c>
      <c r="E21" s="100" t="s">
        <v>200</v>
      </c>
      <c r="F21" s="101">
        <v>2938567.9999999995</v>
      </c>
      <c r="G21" s="101">
        <v>228796</v>
      </c>
      <c r="H21" s="102"/>
      <c r="I21" s="102">
        <f t="shared" si="0"/>
        <v>2938567.9999999995</v>
      </c>
      <c r="J21" s="103">
        <v>3220525</v>
      </c>
      <c r="K21" s="103">
        <v>223796</v>
      </c>
      <c r="L21" s="103"/>
      <c r="M21" s="103">
        <f t="shared" si="1"/>
        <v>3220525</v>
      </c>
      <c r="N21" s="103">
        <f t="shared" si="2"/>
        <v>-281957.00000000047</v>
      </c>
      <c r="O21" s="103">
        <f t="shared" si="2"/>
        <v>5000</v>
      </c>
      <c r="P21" s="103">
        <f t="shared" si="2"/>
        <v>0</v>
      </c>
      <c r="Q21" s="103">
        <f t="shared" si="2"/>
        <v>-281957.00000000047</v>
      </c>
    </row>
    <row r="22" spans="1:17" s="104" customFormat="1" ht="20.100000000000001" customHeight="1">
      <c r="A22" s="96" t="s">
        <v>2</v>
      </c>
      <c r="B22" s="97" t="s">
        <v>216</v>
      </c>
      <c r="C22" s="100">
        <v>19</v>
      </c>
      <c r="D22" s="100" t="s">
        <v>356</v>
      </c>
      <c r="E22" s="100" t="s">
        <v>200</v>
      </c>
      <c r="F22" s="101">
        <v>13256542</v>
      </c>
      <c r="G22" s="101"/>
      <c r="H22" s="102"/>
      <c r="I22" s="102">
        <f t="shared" si="0"/>
        <v>13256542</v>
      </c>
      <c r="J22" s="103">
        <v>14446355</v>
      </c>
      <c r="K22" s="103"/>
      <c r="L22" s="103"/>
      <c r="M22" s="103">
        <f t="shared" si="1"/>
        <v>14446355</v>
      </c>
      <c r="N22" s="103">
        <f t="shared" si="2"/>
        <v>-1189813</v>
      </c>
      <c r="O22" s="103">
        <f t="shared" si="2"/>
        <v>0</v>
      </c>
      <c r="P22" s="103">
        <f t="shared" si="2"/>
        <v>0</v>
      </c>
      <c r="Q22" s="103">
        <f t="shared" si="2"/>
        <v>-1189813</v>
      </c>
    </row>
    <row r="23" spans="1:17" s="104" customFormat="1" ht="20.100000000000001" customHeight="1">
      <c r="A23" s="96" t="s">
        <v>2</v>
      </c>
      <c r="B23" s="97" t="s">
        <v>217</v>
      </c>
      <c r="C23" s="100">
        <v>20</v>
      </c>
      <c r="D23" s="100" t="s">
        <v>356</v>
      </c>
      <c r="E23" s="100" t="s">
        <v>200</v>
      </c>
      <c r="F23" s="101">
        <v>1397979</v>
      </c>
      <c r="G23" s="101">
        <v>274516</v>
      </c>
      <c r="H23" s="102"/>
      <c r="I23" s="102">
        <f t="shared" si="0"/>
        <v>1397979</v>
      </c>
      <c r="J23" s="103">
        <v>1472240</v>
      </c>
      <c r="K23" s="103">
        <v>269516</v>
      </c>
      <c r="L23" s="103"/>
      <c r="M23" s="103">
        <f t="shared" si="1"/>
        <v>1472240</v>
      </c>
      <c r="N23" s="103">
        <f t="shared" si="2"/>
        <v>-74261</v>
      </c>
      <c r="O23" s="103">
        <f t="shared" si="2"/>
        <v>5000</v>
      </c>
      <c r="P23" s="103">
        <f t="shared" si="2"/>
        <v>0</v>
      </c>
      <c r="Q23" s="103">
        <f t="shared" si="2"/>
        <v>-74261</v>
      </c>
    </row>
    <row r="24" spans="1:17" s="104" customFormat="1" ht="20.100000000000001" customHeight="1">
      <c r="A24" s="96"/>
      <c r="B24" s="97" t="s">
        <v>343</v>
      </c>
      <c r="C24" s="100"/>
      <c r="D24" s="100"/>
      <c r="E24" s="100"/>
      <c r="F24" s="101">
        <f>SUM(F4:F23)</f>
        <v>320418647</v>
      </c>
      <c r="G24" s="101">
        <f t="shared" ref="G24:Q24" si="4">SUM(G4:G23)</f>
        <v>6483103</v>
      </c>
      <c r="H24" s="101">
        <f t="shared" si="4"/>
        <v>16133096.25</v>
      </c>
      <c r="I24" s="101">
        <f t="shared" si="4"/>
        <v>336551743.25</v>
      </c>
      <c r="J24" s="101">
        <f t="shared" si="4"/>
        <v>340852815</v>
      </c>
      <c r="K24" s="101">
        <f t="shared" si="4"/>
        <v>6351926</v>
      </c>
      <c r="L24" s="101">
        <f t="shared" si="4"/>
        <v>16237918.75</v>
      </c>
      <c r="M24" s="101">
        <f t="shared" si="4"/>
        <v>357090733.75</v>
      </c>
      <c r="N24" s="101">
        <f t="shared" si="4"/>
        <v>-20434167.999999993</v>
      </c>
      <c r="O24" s="101">
        <f t="shared" si="4"/>
        <v>131177</v>
      </c>
      <c r="P24" s="101">
        <f t="shared" si="4"/>
        <v>-104822.5</v>
      </c>
      <c r="Q24" s="101">
        <f t="shared" si="4"/>
        <v>-20538990.499999993</v>
      </c>
    </row>
  </sheetData>
  <mergeCells count="9">
    <mergeCell ref="A1:Q1"/>
    <mergeCell ref="A2:A3"/>
    <mergeCell ref="B2:B3"/>
    <mergeCell ref="C2:C3"/>
    <mergeCell ref="D2:D3"/>
    <mergeCell ref="E2:E3"/>
    <mergeCell ref="F2:I2"/>
    <mergeCell ref="J2:M2"/>
    <mergeCell ref="N2:Q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O58" sqref="O58"/>
    </sheetView>
  </sheetViews>
  <sheetFormatPr defaultRowHeight="13.5" outlineLevelRow="2"/>
  <cols>
    <col min="1" max="1" width="19.25" style="35" customWidth="1"/>
    <col min="2" max="2" width="40.25" style="35" customWidth="1"/>
    <col min="3" max="3" width="20.625" style="35" hidden="1" customWidth="1"/>
    <col min="4" max="4" width="24.75" style="35" customWidth="1"/>
    <col min="5" max="16384" width="9" style="35"/>
  </cols>
  <sheetData>
    <row r="1" spans="1:4" s="32" customFormat="1" ht="20.25">
      <c r="A1" s="196" t="s">
        <v>367</v>
      </c>
      <c r="B1" s="197"/>
      <c r="C1" s="197"/>
      <c r="D1" s="197"/>
    </row>
    <row r="2" spans="1:4">
      <c r="A2" s="33" t="s">
        <v>219</v>
      </c>
      <c r="B2" s="33" t="s">
        <v>220</v>
      </c>
      <c r="C2" s="33" t="s">
        <v>224</v>
      </c>
      <c r="D2" s="33" t="s">
        <v>221</v>
      </c>
    </row>
    <row r="3" spans="1:4" outlineLevel="2">
      <c r="A3" s="33" t="s">
        <v>222</v>
      </c>
      <c r="B3" s="36" t="s">
        <v>225</v>
      </c>
      <c r="C3" s="33">
        <v>5148792</v>
      </c>
      <c r="D3" s="33">
        <f t="shared" ref="D3:D22" si="0">ROUND(C3/0.07*0.015*0.9,2)</f>
        <v>992981.31</v>
      </c>
    </row>
    <row r="4" spans="1:4" outlineLevel="2">
      <c r="A4" s="33" t="s">
        <v>222</v>
      </c>
      <c r="B4" s="36" t="s">
        <v>226</v>
      </c>
      <c r="C4" s="33">
        <v>1611804</v>
      </c>
      <c r="D4" s="33">
        <f t="shared" si="0"/>
        <v>310847.90999999997</v>
      </c>
    </row>
    <row r="5" spans="1:4" outlineLevel="2">
      <c r="A5" s="33" t="s">
        <v>222</v>
      </c>
      <c r="B5" s="36" t="s">
        <v>227</v>
      </c>
      <c r="C5" s="33">
        <v>1305912</v>
      </c>
      <c r="D5" s="33">
        <f t="shared" si="0"/>
        <v>251854.46</v>
      </c>
    </row>
    <row r="6" spans="1:4" outlineLevel="2">
      <c r="A6" s="33" t="s">
        <v>222</v>
      </c>
      <c r="B6" s="36" t="s">
        <v>228</v>
      </c>
      <c r="C6" s="33">
        <v>1750200</v>
      </c>
      <c r="D6" s="33">
        <f t="shared" si="0"/>
        <v>337538.57</v>
      </c>
    </row>
    <row r="7" spans="1:4" outlineLevel="2">
      <c r="A7" s="33" t="s">
        <v>222</v>
      </c>
      <c r="B7" s="36" t="s">
        <v>229</v>
      </c>
      <c r="C7" s="33">
        <v>5749068</v>
      </c>
      <c r="D7" s="33">
        <f t="shared" si="0"/>
        <v>1108748.83</v>
      </c>
    </row>
    <row r="8" spans="1:4" outlineLevel="2">
      <c r="A8" s="33" t="s">
        <v>222</v>
      </c>
      <c r="B8" s="36" t="s">
        <v>230</v>
      </c>
      <c r="C8" s="33">
        <v>993084</v>
      </c>
      <c r="D8" s="33">
        <f t="shared" si="0"/>
        <v>191523.34</v>
      </c>
    </row>
    <row r="9" spans="1:4" outlineLevel="2">
      <c r="A9" s="33" t="s">
        <v>222</v>
      </c>
      <c r="B9" s="36" t="s">
        <v>231</v>
      </c>
      <c r="C9" s="33">
        <v>2227212</v>
      </c>
      <c r="D9" s="33">
        <f t="shared" si="0"/>
        <v>429533.74</v>
      </c>
    </row>
    <row r="10" spans="1:4" outlineLevel="2">
      <c r="A10" s="33" t="s">
        <v>222</v>
      </c>
      <c r="B10" s="36" t="s">
        <v>232</v>
      </c>
      <c r="C10" s="33">
        <v>976332</v>
      </c>
      <c r="D10" s="33">
        <f t="shared" si="0"/>
        <v>188292.6</v>
      </c>
    </row>
    <row r="11" spans="1:4" outlineLevel="2">
      <c r="A11" s="33" t="s">
        <v>222</v>
      </c>
      <c r="B11" s="36" t="s">
        <v>233</v>
      </c>
      <c r="C11" s="33">
        <v>2152644</v>
      </c>
      <c r="D11" s="33">
        <f t="shared" si="0"/>
        <v>415152.77</v>
      </c>
    </row>
    <row r="12" spans="1:4" outlineLevel="2">
      <c r="A12" s="33" t="s">
        <v>222</v>
      </c>
      <c r="B12" s="36" t="s">
        <v>234</v>
      </c>
      <c r="C12" s="33">
        <v>1492788</v>
      </c>
      <c r="D12" s="33">
        <f t="shared" si="0"/>
        <v>287894.83</v>
      </c>
    </row>
    <row r="13" spans="1:4" outlineLevel="2">
      <c r="A13" s="33" t="s">
        <v>222</v>
      </c>
      <c r="B13" s="36" t="s">
        <v>235</v>
      </c>
      <c r="C13" s="33">
        <v>668004</v>
      </c>
      <c r="D13" s="33">
        <f t="shared" si="0"/>
        <v>128829.34</v>
      </c>
    </row>
    <row r="14" spans="1:4" outlineLevel="2">
      <c r="A14" s="33" t="s">
        <v>222</v>
      </c>
      <c r="B14" s="36" t="s">
        <v>236</v>
      </c>
      <c r="C14" s="33">
        <v>686748</v>
      </c>
      <c r="D14" s="33">
        <f t="shared" si="0"/>
        <v>132444.26</v>
      </c>
    </row>
    <row r="15" spans="1:4" outlineLevel="2">
      <c r="A15" s="33" t="s">
        <v>222</v>
      </c>
      <c r="B15" s="36" t="s">
        <v>237</v>
      </c>
      <c r="C15" s="33">
        <v>457164</v>
      </c>
      <c r="D15" s="33">
        <f t="shared" si="0"/>
        <v>88167.34</v>
      </c>
    </row>
    <row r="16" spans="1:4" outlineLevel="2">
      <c r="A16" s="33" t="s">
        <v>222</v>
      </c>
      <c r="B16" s="36" t="s">
        <v>238</v>
      </c>
      <c r="C16" s="33">
        <v>638076</v>
      </c>
      <c r="D16" s="33">
        <f t="shared" si="0"/>
        <v>123057.51</v>
      </c>
    </row>
    <row r="17" spans="1:4" outlineLevel="2">
      <c r="A17" s="33" t="s">
        <v>222</v>
      </c>
      <c r="B17" s="36" t="s">
        <v>239</v>
      </c>
      <c r="C17" s="33">
        <v>292776</v>
      </c>
      <c r="D17" s="33">
        <f t="shared" si="0"/>
        <v>56463.94</v>
      </c>
    </row>
    <row r="18" spans="1:4" outlineLevel="2">
      <c r="A18" s="33" t="s">
        <v>222</v>
      </c>
      <c r="B18" s="36" t="s">
        <v>240</v>
      </c>
      <c r="C18" s="33">
        <v>277176</v>
      </c>
      <c r="D18" s="33">
        <f t="shared" si="0"/>
        <v>53455.37</v>
      </c>
    </row>
    <row r="19" spans="1:4" outlineLevel="2">
      <c r="A19" s="33" t="s">
        <v>222</v>
      </c>
      <c r="B19" s="36" t="s">
        <v>241</v>
      </c>
      <c r="C19" s="33">
        <v>1231068</v>
      </c>
      <c r="D19" s="33">
        <f t="shared" si="0"/>
        <v>237420.26</v>
      </c>
    </row>
    <row r="20" spans="1:4" outlineLevel="2">
      <c r="A20" s="33" t="s">
        <v>222</v>
      </c>
      <c r="B20" s="36" t="s">
        <v>242</v>
      </c>
      <c r="C20" s="33">
        <v>136668</v>
      </c>
      <c r="D20" s="33">
        <f t="shared" si="0"/>
        <v>26357.4</v>
      </c>
    </row>
    <row r="21" spans="1:4" outlineLevel="2">
      <c r="A21" s="33" t="s">
        <v>222</v>
      </c>
      <c r="B21" s="36" t="s">
        <v>243</v>
      </c>
      <c r="C21" s="33">
        <v>1223280</v>
      </c>
      <c r="D21" s="33">
        <f t="shared" si="0"/>
        <v>235918.29</v>
      </c>
    </row>
    <row r="22" spans="1:4" outlineLevel="2">
      <c r="A22" s="33" t="s">
        <v>222</v>
      </c>
      <c r="B22" s="36" t="s">
        <v>244</v>
      </c>
      <c r="C22" s="33">
        <v>129684</v>
      </c>
      <c r="D22" s="33">
        <f t="shared" si="0"/>
        <v>25010.49</v>
      </c>
    </row>
    <row r="23" spans="1:4" outlineLevel="1">
      <c r="A23" s="34" t="s">
        <v>223</v>
      </c>
      <c r="B23" s="36"/>
      <c r="C23" s="33">
        <f>SUBTOTAL(9,C3:C22)</f>
        <v>29148480</v>
      </c>
      <c r="D23" s="33">
        <f>SUM(D3:D22)</f>
        <v>5621492.5600000005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O58" sqref="O58"/>
    </sheetView>
  </sheetViews>
  <sheetFormatPr defaultRowHeight="13.5" outlineLevelRow="2"/>
  <cols>
    <col min="1" max="1" width="24.125" style="35" customWidth="1"/>
    <col min="2" max="2" width="39.5" style="35" customWidth="1"/>
    <col min="3" max="3" width="20.625" style="35" hidden="1" customWidth="1"/>
    <col min="4" max="4" width="20.625" style="35" customWidth="1"/>
    <col min="5" max="16384" width="9" style="35"/>
  </cols>
  <sheetData>
    <row r="1" spans="1:4" s="32" customFormat="1" ht="20.25">
      <c r="A1" s="196" t="s">
        <v>387</v>
      </c>
      <c r="B1" s="197"/>
      <c r="C1" s="197"/>
      <c r="D1" s="197"/>
    </row>
    <row r="2" spans="1:4" ht="24.95" customHeight="1">
      <c r="A2" s="96" t="s">
        <v>219</v>
      </c>
      <c r="B2" s="96" t="s">
        <v>220</v>
      </c>
      <c r="C2" s="96" t="s">
        <v>224</v>
      </c>
      <c r="D2" s="96" t="s">
        <v>221</v>
      </c>
    </row>
    <row r="3" spans="1:4" ht="24.95" customHeight="1" outlineLevel="2">
      <c r="A3" s="125" t="s">
        <v>390</v>
      </c>
      <c r="B3" s="125" t="s">
        <v>388</v>
      </c>
      <c r="C3" s="125"/>
      <c r="D3" s="125">
        <v>267890</v>
      </c>
    </row>
    <row r="4" spans="1:4" ht="24.95" customHeight="1" outlineLevel="2">
      <c r="A4" s="125" t="s">
        <v>390</v>
      </c>
      <c r="B4" s="126" t="s">
        <v>389</v>
      </c>
      <c r="C4" s="125"/>
      <c r="D4" s="125">
        <v>192046</v>
      </c>
    </row>
    <row r="5" spans="1:4" ht="24.95" customHeight="1" outlineLevel="2">
      <c r="A5" s="125" t="s">
        <v>390</v>
      </c>
      <c r="B5" s="125" t="s">
        <v>206</v>
      </c>
      <c r="C5" s="125"/>
      <c r="D5" s="125">
        <v>128810</v>
      </c>
    </row>
    <row r="6" spans="1:4" ht="24.95" customHeight="1" outlineLevel="1">
      <c r="A6" s="127" t="s">
        <v>223</v>
      </c>
      <c r="B6" s="125"/>
      <c r="C6" s="125"/>
      <c r="D6" s="125">
        <f>SUBTOTAL(9,D3:D5)</f>
        <v>588746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O58" sqref="O58"/>
    </sheetView>
  </sheetViews>
  <sheetFormatPr defaultRowHeight="13.5"/>
  <cols>
    <col min="1" max="1" width="21.25" customWidth="1"/>
    <col min="2" max="2" width="25" customWidth="1"/>
    <col min="3" max="3" width="19.375" customWidth="1"/>
  </cols>
  <sheetData>
    <row r="1" spans="1:3" ht="20.25">
      <c r="A1" s="198" t="s">
        <v>368</v>
      </c>
      <c r="B1" s="198"/>
      <c r="C1" s="198"/>
    </row>
    <row r="2" spans="1:3" ht="24.95" customHeight="1">
      <c r="A2" s="116" t="s">
        <v>219</v>
      </c>
      <c r="B2" s="116" t="s">
        <v>365</v>
      </c>
      <c r="C2" s="116" t="s">
        <v>366</v>
      </c>
    </row>
    <row r="3" spans="1:3" ht="24.95" customHeight="1">
      <c r="A3" s="117" t="s">
        <v>2</v>
      </c>
      <c r="B3" s="118">
        <v>276368</v>
      </c>
      <c r="C3" s="115">
        <f t="shared" ref="C3" si="0">B3*3</f>
        <v>829104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topLeftCell="B1" workbookViewId="0">
      <pane xSplit="2" ySplit="3" topLeftCell="D4" activePane="bottomRight" state="frozen"/>
      <selection activeCell="O58" sqref="O58"/>
      <selection pane="topRight" activeCell="O58" sqref="O58"/>
      <selection pane="bottomLeft" activeCell="O58" sqref="O58"/>
      <selection pane="bottomRight" activeCell="O58" sqref="O58"/>
    </sheetView>
  </sheetViews>
  <sheetFormatPr defaultColWidth="9" defaultRowHeight="11.25"/>
  <cols>
    <col min="1" max="1" width="8.125" style="37" hidden="1" customWidth="1"/>
    <col min="2" max="2" width="20.375" style="37" customWidth="1"/>
    <col min="3" max="3" width="5.75" style="37" customWidth="1"/>
    <col min="4" max="4" width="9.75" style="37" hidden="1" customWidth="1"/>
    <col min="5" max="24" width="9" style="37" hidden="1" customWidth="1"/>
    <col min="25" max="25" width="8.375" style="37" hidden="1" customWidth="1"/>
    <col min="26" max="26" width="9.625" style="37" hidden="1" customWidth="1"/>
    <col min="27" max="27" width="9.375" style="37" hidden="1" customWidth="1"/>
    <col min="28" max="28" width="12.5" style="37" hidden="1" customWidth="1"/>
    <col min="29" max="29" width="9.875" style="37" hidden="1" customWidth="1"/>
    <col min="30" max="30" width="11.625" style="37" customWidth="1"/>
    <col min="31" max="31" width="10.5" style="37" customWidth="1"/>
    <col min="32" max="32" width="10.875" style="37" customWidth="1"/>
    <col min="33" max="33" width="11.375" style="37" customWidth="1"/>
    <col min="34" max="34" width="11.625" style="37" customWidth="1"/>
    <col min="35" max="35" width="11.375" style="37" customWidth="1"/>
    <col min="36" max="36" width="9.125" style="37" bestFit="1" customWidth="1"/>
    <col min="37" max="37" width="11" style="37" customWidth="1"/>
    <col min="38" max="39" width="12.125" style="37" customWidth="1"/>
    <col min="40" max="40" width="12.5" style="37" customWidth="1"/>
    <col min="41" max="41" width="12.75" style="49" customWidth="1"/>
    <col min="42" max="16384" width="9" style="37"/>
  </cols>
  <sheetData>
    <row r="1" spans="1:41" ht="18.75">
      <c r="A1" s="199" t="s">
        <v>283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1"/>
    </row>
    <row r="2" spans="1:41" ht="11.25" customHeight="1">
      <c r="A2" s="202" t="s">
        <v>245</v>
      </c>
      <c r="B2" s="202" t="s">
        <v>246</v>
      </c>
      <c r="C2" s="202" t="s">
        <v>247</v>
      </c>
      <c r="D2" s="202" t="s">
        <v>248</v>
      </c>
      <c r="E2" s="202" t="s">
        <v>344</v>
      </c>
      <c r="F2" s="202"/>
      <c r="G2" s="202"/>
      <c r="H2" s="202"/>
      <c r="I2" s="202"/>
      <c r="J2" s="202" t="s">
        <v>345</v>
      </c>
      <c r="K2" s="202"/>
      <c r="L2" s="202"/>
      <c r="M2" s="202"/>
      <c r="N2" s="202"/>
      <c r="O2" s="205" t="s">
        <v>249</v>
      </c>
      <c r="P2" s="205"/>
      <c r="Q2" s="205"/>
      <c r="R2" s="205"/>
      <c r="S2" s="205"/>
      <c r="T2" s="205" t="s">
        <v>347</v>
      </c>
      <c r="U2" s="205"/>
      <c r="V2" s="205"/>
      <c r="W2" s="205"/>
      <c r="X2" s="205"/>
      <c r="Y2" s="205" t="s">
        <v>250</v>
      </c>
      <c r="Z2" s="205"/>
      <c r="AA2" s="205"/>
      <c r="AB2" s="205"/>
      <c r="AC2" s="205"/>
      <c r="AD2" s="202" t="s">
        <v>346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3" t="s">
        <v>282</v>
      </c>
    </row>
    <row r="3" spans="1:41" ht="33.75">
      <c r="A3" s="202"/>
      <c r="B3" s="202"/>
      <c r="C3" s="202"/>
      <c r="D3" s="202"/>
      <c r="E3" s="38" t="s">
        <v>251</v>
      </c>
      <c r="F3" s="38" t="s">
        <v>252</v>
      </c>
      <c r="G3" s="38" t="s">
        <v>253</v>
      </c>
      <c r="H3" s="38" t="s">
        <v>254</v>
      </c>
      <c r="I3" s="39" t="s">
        <v>7</v>
      </c>
      <c r="J3" s="38" t="s">
        <v>251</v>
      </c>
      <c r="K3" s="38" t="s">
        <v>252</v>
      </c>
      <c r="L3" s="38" t="s">
        <v>253</v>
      </c>
      <c r="M3" s="38" t="s">
        <v>254</v>
      </c>
      <c r="N3" s="39" t="s">
        <v>7</v>
      </c>
      <c r="O3" s="38" t="s">
        <v>251</v>
      </c>
      <c r="P3" s="38" t="s">
        <v>252</v>
      </c>
      <c r="Q3" s="38" t="s">
        <v>253</v>
      </c>
      <c r="R3" s="38" t="s">
        <v>254</v>
      </c>
      <c r="S3" s="39" t="s">
        <v>7</v>
      </c>
      <c r="T3" s="38" t="s">
        <v>251</v>
      </c>
      <c r="U3" s="38" t="s">
        <v>252</v>
      </c>
      <c r="V3" s="38" t="s">
        <v>253</v>
      </c>
      <c r="W3" s="38" t="s">
        <v>254</v>
      </c>
      <c r="X3" s="39" t="s">
        <v>7</v>
      </c>
      <c r="Y3" s="38" t="s">
        <v>251</v>
      </c>
      <c r="Z3" s="38" t="s">
        <v>252</v>
      </c>
      <c r="AA3" s="38" t="s">
        <v>253</v>
      </c>
      <c r="AB3" s="38" t="s">
        <v>254</v>
      </c>
      <c r="AC3" s="39" t="s">
        <v>7</v>
      </c>
      <c r="AD3" s="38" t="s">
        <v>255</v>
      </c>
      <c r="AE3" s="38" t="s">
        <v>256</v>
      </c>
      <c r="AF3" s="38" t="s">
        <v>257</v>
      </c>
      <c r="AG3" s="38" t="s">
        <v>258</v>
      </c>
      <c r="AH3" s="38" t="s">
        <v>259</v>
      </c>
      <c r="AI3" s="38" t="s">
        <v>260</v>
      </c>
      <c r="AJ3" s="38" t="s">
        <v>261</v>
      </c>
      <c r="AK3" s="38" t="s">
        <v>262</v>
      </c>
      <c r="AL3" s="38" t="s">
        <v>263</v>
      </c>
      <c r="AM3" s="38" t="s">
        <v>264</v>
      </c>
      <c r="AN3" s="39" t="s">
        <v>265</v>
      </c>
      <c r="AO3" s="204"/>
    </row>
    <row r="4" spans="1:41" ht="17.100000000000001" customHeight="1">
      <c r="A4" s="40" t="s">
        <v>2</v>
      </c>
      <c r="B4" s="41" t="s">
        <v>268</v>
      </c>
      <c r="C4" s="41" t="s">
        <v>266</v>
      </c>
      <c r="D4" s="42">
        <v>2</v>
      </c>
      <c r="E4" s="47">
        <v>3</v>
      </c>
      <c r="F4" s="47">
        <v>3</v>
      </c>
      <c r="G4" s="47">
        <v>28</v>
      </c>
      <c r="H4" s="47">
        <v>2.67</v>
      </c>
      <c r="I4" s="43">
        <f t="shared" ref="I4:I22" si="0">SUM(E4:H4)</f>
        <v>36.67</v>
      </c>
      <c r="J4" s="42">
        <v>4.42</v>
      </c>
      <c r="K4" s="42">
        <v>1</v>
      </c>
      <c r="L4" s="42">
        <v>1</v>
      </c>
      <c r="M4" s="42">
        <v>0</v>
      </c>
      <c r="N4" s="43">
        <f t="shared" ref="N4:N22" si="1">SUM(J4:M4)</f>
        <v>6.42</v>
      </c>
      <c r="O4" s="43">
        <f t="shared" ref="O4:R22" si="2">E4+J4</f>
        <v>7.42</v>
      </c>
      <c r="P4" s="43">
        <f t="shared" si="2"/>
        <v>4</v>
      </c>
      <c r="Q4" s="43">
        <f t="shared" si="2"/>
        <v>29</v>
      </c>
      <c r="R4" s="43">
        <f t="shared" si="2"/>
        <v>2.67</v>
      </c>
      <c r="S4" s="43">
        <f t="shared" ref="S4:S22" si="3">SUM(O4:R4)</f>
        <v>43.09</v>
      </c>
      <c r="T4" s="42">
        <v>6.67</v>
      </c>
      <c r="U4" s="42">
        <v>4.17</v>
      </c>
      <c r="V4" s="42">
        <v>29.92</v>
      </c>
      <c r="W4" s="42">
        <v>2</v>
      </c>
      <c r="X4" s="43">
        <f t="shared" ref="X4:X22" si="4">SUM(T4:W4)</f>
        <v>42.760000000000005</v>
      </c>
      <c r="Y4" s="42">
        <v>6.67</v>
      </c>
      <c r="Z4" s="42">
        <v>4.17</v>
      </c>
      <c r="AA4" s="42">
        <v>29.92</v>
      </c>
      <c r="AB4" s="42">
        <v>2</v>
      </c>
      <c r="AC4" s="43">
        <f t="shared" ref="AC4:AC22" si="5">SUM(Y4:AB4)</f>
        <v>42.760000000000005</v>
      </c>
      <c r="AD4" s="43">
        <f t="shared" ref="AD4:AD22" si="6">(Y4*6400+Z4*5550+AA4*5094+AB4*4300)*12</f>
        <v>2722127.7600000002</v>
      </c>
      <c r="AE4" s="43">
        <f t="shared" ref="AE4:AE22" si="7">AC4*4320</f>
        <v>184723.20000000001</v>
      </c>
      <c r="AF4" s="43">
        <f t="shared" ref="AF4:AF22" si="8">AC4*6000</f>
        <v>256560.00000000003</v>
      </c>
      <c r="AG4" s="43">
        <f t="shared" ref="AG4:AG22" si="9">AC4*2400</f>
        <v>102624.00000000001</v>
      </c>
      <c r="AH4" s="43">
        <f t="shared" ref="AH4:AH22" si="10">AC4*9400</f>
        <v>401944.00000000006</v>
      </c>
      <c r="AI4" s="43">
        <f t="shared" ref="AI4:AI22" si="11">AC4*800</f>
        <v>34208.000000000007</v>
      </c>
      <c r="AJ4" s="43">
        <f t="shared" ref="AJ4:AJ22" si="12">D4*50*200</f>
        <v>20000</v>
      </c>
      <c r="AK4" s="43">
        <f t="shared" ref="AK4:AK22" si="13">AC4*960</f>
        <v>41049.600000000006</v>
      </c>
      <c r="AL4" s="43">
        <f t="shared" ref="AL4:AL22" si="14">ROUND((7310*12)*0.35256,2)*AC4</f>
        <v>1322419.7056000002</v>
      </c>
      <c r="AN4" s="43">
        <f t="shared" ref="AN4:AN22" si="15">SUM(AD4:AM4)</f>
        <v>5085656.2656000005</v>
      </c>
      <c r="AO4" s="50">
        <f t="shared" ref="AO4:AO22" si="16">ROUND(AN4*0.8,0)</f>
        <v>4068525</v>
      </c>
    </row>
    <row r="5" spans="1:41" ht="17.100000000000001" customHeight="1">
      <c r="A5" s="40" t="s">
        <v>2</v>
      </c>
      <c r="B5" s="41" t="s">
        <v>269</v>
      </c>
      <c r="C5" s="41" t="s">
        <v>266</v>
      </c>
      <c r="D5" s="42">
        <v>1</v>
      </c>
      <c r="E5" s="47">
        <v>3.67</v>
      </c>
      <c r="F5" s="47">
        <v>2</v>
      </c>
      <c r="G5" s="47">
        <v>17</v>
      </c>
      <c r="H5" s="47">
        <v>2.67</v>
      </c>
      <c r="I5" s="43">
        <f t="shared" si="0"/>
        <v>25.340000000000003</v>
      </c>
      <c r="J5" s="42"/>
      <c r="K5" s="42"/>
      <c r="L5" s="42"/>
      <c r="M5" s="42"/>
      <c r="N5" s="43">
        <f t="shared" si="1"/>
        <v>0</v>
      </c>
      <c r="O5" s="43">
        <f t="shared" si="2"/>
        <v>3.67</v>
      </c>
      <c r="P5" s="43">
        <f t="shared" si="2"/>
        <v>2</v>
      </c>
      <c r="Q5" s="43">
        <f t="shared" si="2"/>
        <v>17</v>
      </c>
      <c r="R5" s="43">
        <f t="shared" si="2"/>
        <v>2.67</v>
      </c>
      <c r="S5" s="43">
        <f t="shared" si="3"/>
        <v>25.340000000000003</v>
      </c>
      <c r="T5" s="42">
        <v>4</v>
      </c>
      <c r="U5" s="42">
        <v>1.58</v>
      </c>
      <c r="V5" s="42">
        <v>18</v>
      </c>
      <c r="W5" s="42">
        <v>1.42</v>
      </c>
      <c r="X5" s="43">
        <f t="shared" si="4"/>
        <v>25</v>
      </c>
      <c r="Y5" s="42">
        <v>4</v>
      </c>
      <c r="Z5" s="42">
        <v>1.58</v>
      </c>
      <c r="AA5" s="42">
        <v>18</v>
      </c>
      <c r="AB5" s="42">
        <v>1.42</v>
      </c>
      <c r="AC5" s="43">
        <f t="shared" si="5"/>
        <v>25</v>
      </c>
      <c r="AD5" s="43">
        <f t="shared" si="6"/>
        <v>1586004</v>
      </c>
      <c r="AE5" s="43">
        <f t="shared" si="7"/>
        <v>108000</v>
      </c>
      <c r="AF5" s="43">
        <f t="shared" si="8"/>
        <v>150000</v>
      </c>
      <c r="AG5" s="43">
        <f t="shared" si="9"/>
        <v>60000</v>
      </c>
      <c r="AH5" s="43">
        <f t="shared" si="10"/>
        <v>235000</v>
      </c>
      <c r="AI5" s="43">
        <f t="shared" si="11"/>
        <v>20000</v>
      </c>
      <c r="AJ5" s="43">
        <f t="shared" si="12"/>
        <v>10000</v>
      </c>
      <c r="AK5" s="43">
        <f t="shared" si="13"/>
        <v>24000</v>
      </c>
      <c r="AL5" s="43">
        <f t="shared" si="14"/>
        <v>773164</v>
      </c>
      <c r="AM5" s="43"/>
      <c r="AN5" s="43">
        <f t="shared" si="15"/>
        <v>2966168</v>
      </c>
      <c r="AO5" s="50">
        <f t="shared" si="16"/>
        <v>2372934</v>
      </c>
    </row>
    <row r="6" spans="1:41" ht="17.100000000000001" customHeight="1">
      <c r="A6" s="40" t="s">
        <v>2</v>
      </c>
      <c r="B6" s="41" t="s">
        <v>270</v>
      </c>
      <c r="C6" s="41" t="s">
        <v>266</v>
      </c>
      <c r="D6" s="42">
        <v>2</v>
      </c>
      <c r="E6" s="47">
        <v>0</v>
      </c>
      <c r="F6" s="47">
        <v>2</v>
      </c>
      <c r="G6" s="47">
        <v>23.33</v>
      </c>
      <c r="H6" s="47">
        <v>2.67</v>
      </c>
      <c r="I6" s="43">
        <f t="shared" si="0"/>
        <v>28</v>
      </c>
      <c r="J6" s="42"/>
      <c r="K6" s="42"/>
      <c r="L6" s="42"/>
      <c r="M6" s="42"/>
      <c r="N6" s="43">
        <f t="shared" si="1"/>
        <v>0</v>
      </c>
      <c r="O6" s="43">
        <f t="shared" si="2"/>
        <v>0</v>
      </c>
      <c r="P6" s="43">
        <f t="shared" si="2"/>
        <v>2</v>
      </c>
      <c r="Q6" s="43">
        <f t="shared" si="2"/>
        <v>23.33</v>
      </c>
      <c r="R6" s="43">
        <f t="shared" si="2"/>
        <v>2.67</v>
      </c>
      <c r="S6" s="43">
        <f t="shared" si="3"/>
        <v>28</v>
      </c>
      <c r="T6" s="42">
        <v>2.58</v>
      </c>
      <c r="U6" s="42">
        <v>1.58</v>
      </c>
      <c r="V6" s="42">
        <v>22.5</v>
      </c>
      <c r="W6" s="42">
        <v>1.83</v>
      </c>
      <c r="X6" s="43">
        <f t="shared" si="4"/>
        <v>28.490000000000002</v>
      </c>
      <c r="Y6" s="42">
        <v>0</v>
      </c>
      <c r="Z6" s="42">
        <v>2</v>
      </c>
      <c r="AA6" s="42">
        <v>23.33</v>
      </c>
      <c r="AB6" s="42">
        <v>2.67</v>
      </c>
      <c r="AC6" s="43">
        <f t="shared" si="5"/>
        <v>28</v>
      </c>
      <c r="AD6" s="43">
        <f t="shared" si="6"/>
        <v>1697088.2399999998</v>
      </c>
      <c r="AE6" s="43">
        <f t="shared" si="7"/>
        <v>120960</v>
      </c>
      <c r="AF6" s="43">
        <f t="shared" si="8"/>
        <v>168000</v>
      </c>
      <c r="AG6" s="43">
        <f t="shared" si="9"/>
        <v>67200</v>
      </c>
      <c r="AH6" s="43">
        <f t="shared" si="10"/>
        <v>263200</v>
      </c>
      <c r="AI6" s="43">
        <f t="shared" si="11"/>
        <v>22400</v>
      </c>
      <c r="AJ6" s="43">
        <f t="shared" si="12"/>
        <v>20000</v>
      </c>
      <c r="AK6" s="43">
        <f t="shared" si="13"/>
        <v>26880</v>
      </c>
      <c r="AL6" s="43">
        <f t="shared" si="14"/>
        <v>865943.68</v>
      </c>
      <c r="AM6" s="43"/>
      <c r="AN6" s="43">
        <f t="shared" si="15"/>
        <v>3251671.92</v>
      </c>
      <c r="AO6" s="50">
        <f t="shared" si="16"/>
        <v>2601338</v>
      </c>
    </row>
    <row r="7" spans="1:41" ht="17.100000000000001" customHeight="1">
      <c r="A7" s="40" t="s">
        <v>2</v>
      </c>
      <c r="B7" s="41" t="s">
        <v>211</v>
      </c>
      <c r="C7" s="41" t="s">
        <v>266</v>
      </c>
      <c r="D7" s="42">
        <v>5</v>
      </c>
      <c r="E7" s="47">
        <v>9.33</v>
      </c>
      <c r="F7" s="47">
        <v>2.67</v>
      </c>
      <c r="G7" s="47">
        <v>58.67</v>
      </c>
      <c r="H7" s="47">
        <v>5</v>
      </c>
      <c r="I7" s="43">
        <f t="shared" si="0"/>
        <v>75.67</v>
      </c>
      <c r="J7" s="42"/>
      <c r="K7" s="42"/>
      <c r="L7" s="42"/>
      <c r="M7" s="42"/>
      <c r="N7" s="43">
        <f t="shared" si="1"/>
        <v>0</v>
      </c>
      <c r="O7" s="43">
        <f t="shared" si="2"/>
        <v>9.33</v>
      </c>
      <c r="P7" s="43">
        <f t="shared" si="2"/>
        <v>2.67</v>
      </c>
      <c r="Q7" s="43">
        <f t="shared" si="2"/>
        <v>58.67</v>
      </c>
      <c r="R7" s="43">
        <f t="shared" si="2"/>
        <v>5</v>
      </c>
      <c r="S7" s="43">
        <f t="shared" si="3"/>
        <v>75.67</v>
      </c>
      <c r="T7" s="42">
        <v>1.67</v>
      </c>
      <c r="U7" s="42">
        <v>5.33</v>
      </c>
      <c r="V7" s="42">
        <v>56.17</v>
      </c>
      <c r="W7" s="42">
        <v>3</v>
      </c>
      <c r="X7" s="43">
        <f t="shared" si="4"/>
        <v>66.17</v>
      </c>
      <c r="Y7" s="42">
        <v>1.67</v>
      </c>
      <c r="Z7" s="42">
        <v>5.33</v>
      </c>
      <c r="AA7" s="42">
        <v>56.17</v>
      </c>
      <c r="AB7" s="42">
        <v>3</v>
      </c>
      <c r="AC7" s="43">
        <f t="shared" si="5"/>
        <v>66.17</v>
      </c>
      <c r="AD7" s="43">
        <f t="shared" si="6"/>
        <v>4071593.76</v>
      </c>
      <c r="AE7" s="43">
        <f t="shared" si="7"/>
        <v>285854.40000000002</v>
      </c>
      <c r="AF7" s="43">
        <f t="shared" si="8"/>
        <v>397020</v>
      </c>
      <c r="AG7" s="43">
        <f t="shared" si="9"/>
        <v>158808</v>
      </c>
      <c r="AH7" s="43">
        <f t="shared" si="10"/>
        <v>621998</v>
      </c>
      <c r="AI7" s="43">
        <f t="shared" si="11"/>
        <v>52936</v>
      </c>
      <c r="AJ7" s="43">
        <f t="shared" si="12"/>
        <v>50000</v>
      </c>
      <c r="AK7" s="43">
        <f t="shared" si="13"/>
        <v>63523.200000000004</v>
      </c>
      <c r="AL7" s="43">
        <f t="shared" si="14"/>
        <v>2046410.4752000002</v>
      </c>
      <c r="AN7" s="43">
        <f t="shared" si="15"/>
        <v>7748143.8352000006</v>
      </c>
      <c r="AO7" s="50">
        <f t="shared" si="16"/>
        <v>6198515</v>
      </c>
    </row>
    <row r="8" spans="1:41" ht="17.100000000000001" customHeight="1">
      <c r="A8" s="40" t="s">
        <v>2</v>
      </c>
      <c r="B8" s="41" t="s">
        <v>271</v>
      </c>
      <c r="C8" s="41" t="s">
        <v>266</v>
      </c>
      <c r="D8" s="42">
        <v>2</v>
      </c>
      <c r="E8" s="47">
        <v>0</v>
      </c>
      <c r="F8" s="47">
        <v>2</v>
      </c>
      <c r="G8" s="47">
        <v>23.33</v>
      </c>
      <c r="H8" s="47">
        <v>2.67</v>
      </c>
      <c r="I8" s="43">
        <f t="shared" si="0"/>
        <v>28</v>
      </c>
      <c r="J8" s="42">
        <v>1.67</v>
      </c>
      <c r="K8" s="42"/>
      <c r="L8" s="42">
        <v>0.33</v>
      </c>
      <c r="M8" s="42"/>
      <c r="N8" s="43">
        <f t="shared" si="1"/>
        <v>2</v>
      </c>
      <c r="O8" s="43">
        <f t="shared" si="2"/>
        <v>1.67</v>
      </c>
      <c r="P8" s="43">
        <f t="shared" si="2"/>
        <v>2</v>
      </c>
      <c r="Q8" s="43">
        <f t="shared" si="2"/>
        <v>23.659999999999997</v>
      </c>
      <c r="R8" s="43">
        <f t="shared" si="2"/>
        <v>2.67</v>
      </c>
      <c r="S8" s="43">
        <f t="shared" si="3"/>
        <v>30</v>
      </c>
      <c r="T8" s="42">
        <v>3.67</v>
      </c>
      <c r="U8" s="42">
        <v>1</v>
      </c>
      <c r="V8" s="42">
        <v>23.58</v>
      </c>
      <c r="W8" s="42">
        <v>1.75</v>
      </c>
      <c r="X8" s="43">
        <f t="shared" si="4"/>
        <v>30</v>
      </c>
      <c r="Y8" s="42">
        <v>3.67</v>
      </c>
      <c r="Z8" s="42">
        <v>1</v>
      </c>
      <c r="AA8" s="42">
        <v>23.58</v>
      </c>
      <c r="AB8" s="42">
        <v>1.75</v>
      </c>
      <c r="AC8" s="43">
        <f t="shared" si="5"/>
        <v>30</v>
      </c>
      <c r="AD8" s="43">
        <f t="shared" si="6"/>
        <v>1880154.2399999998</v>
      </c>
      <c r="AE8" s="43">
        <f t="shared" si="7"/>
        <v>129600</v>
      </c>
      <c r="AF8" s="43">
        <f t="shared" si="8"/>
        <v>180000</v>
      </c>
      <c r="AG8" s="43">
        <f t="shared" si="9"/>
        <v>72000</v>
      </c>
      <c r="AH8" s="43">
        <f t="shared" si="10"/>
        <v>282000</v>
      </c>
      <c r="AI8" s="43">
        <f t="shared" si="11"/>
        <v>24000</v>
      </c>
      <c r="AJ8" s="43">
        <f t="shared" si="12"/>
        <v>20000</v>
      </c>
      <c r="AK8" s="43">
        <f t="shared" si="13"/>
        <v>28800</v>
      </c>
      <c r="AL8" s="43">
        <f t="shared" si="14"/>
        <v>927796.8</v>
      </c>
      <c r="AM8" s="43"/>
      <c r="AN8" s="43">
        <f t="shared" si="15"/>
        <v>3544351.04</v>
      </c>
      <c r="AO8" s="50">
        <f t="shared" si="16"/>
        <v>2835481</v>
      </c>
    </row>
    <row r="9" spans="1:41" ht="17.100000000000001" customHeight="1">
      <c r="A9" s="40" t="s">
        <v>2</v>
      </c>
      <c r="B9" s="41" t="s">
        <v>208</v>
      </c>
      <c r="C9" s="41" t="s">
        <v>267</v>
      </c>
      <c r="D9" s="42"/>
      <c r="E9" s="47">
        <v>10</v>
      </c>
      <c r="F9" s="47">
        <v>5.67</v>
      </c>
      <c r="G9" s="47">
        <v>0</v>
      </c>
      <c r="H9" s="47">
        <v>8.33</v>
      </c>
      <c r="I9" s="43">
        <f t="shared" si="0"/>
        <v>24</v>
      </c>
      <c r="J9" s="42"/>
      <c r="K9" s="42"/>
      <c r="L9" s="42"/>
      <c r="M9" s="42"/>
      <c r="N9" s="43">
        <f t="shared" si="1"/>
        <v>0</v>
      </c>
      <c r="O9" s="43">
        <f t="shared" si="2"/>
        <v>10</v>
      </c>
      <c r="P9" s="43">
        <f t="shared" si="2"/>
        <v>5.67</v>
      </c>
      <c r="Q9" s="43">
        <f t="shared" si="2"/>
        <v>0</v>
      </c>
      <c r="R9" s="43">
        <f t="shared" si="2"/>
        <v>8.33</v>
      </c>
      <c r="S9" s="43">
        <f t="shared" si="3"/>
        <v>24</v>
      </c>
      <c r="T9" s="42">
        <v>9.42</v>
      </c>
      <c r="U9" s="42">
        <v>2</v>
      </c>
      <c r="V9" s="42">
        <v>0</v>
      </c>
      <c r="W9" s="42">
        <v>9</v>
      </c>
      <c r="X9" s="43">
        <f t="shared" si="4"/>
        <v>20.420000000000002</v>
      </c>
      <c r="Y9" s="42">
        <v>9.42</v>
      </c>
      <c r="Z9" s="42">
        <v>2</v>
      </c>
      <c r="AA9" s="42">
        <v>0</v>
      </c>
      <c r="AB9" s="42">
        <v>9</v>
      </c>
      <c r="AC9" s="43">
        <f t="shared" si="5"/>
        <v>20.420000000000002</v>
      </c>
      <c r="AD9" s="43">
        <f t="shared" si="6"/>
        <v>1321056</v>
      </c>
      <c r="AE9" s="43">
        <f t="shared" si="7"/>
        <v>88214.400000000009</v>
      </c>
      <c r="AF9" s="43">
        <f t="shared" si="8"/>
        <v>122520.00000000001</v>
      </c>
      <c r="AG9" s="43">
        <f t="shared" si="9"/>
        <v>49008.000000000007</v>
      </c>
      <c r="AH9" s="43">
        <f t="shared" si="10"/>
        <v>191948.00000000003</v>
      </c>
      <c r="AI9" s="43">
        <f t="shared" si="11"/>
        <v>16336.000000000002</v>
      </c>
      <c r="AJ9" s="43">
        <f t="shared" si="12"/>
        <v>0</v>
      </c>
      <c r="AK9" s="43">
        <f t="shared" si="13"/>
        <v>19603.2</v>
      </c>
      <c r="AL9" s="43">
        <f t="shared" si="14"/>
        <v>631520.35520000011</v>
      </c>
      <c r="AM9" s="43">
        <v>36397</v>
      </c>
      <c r="AN9" s="43">
        <f t="shared" si="15"/>
        <v>2476602.9551999997</v>
      </c>
      <c r="AO9" s="50">
        <f t="shared" si="16"/>
        <v>1981282</v>
      </c>
    </row>
    <row r="10" spans="1:41" ht="17.100000000000001" customHeight="1">
      <c r="A10" s="40" t="s">
        <v>2</v>
      </c>
      <c r="B10" s="41" t="s">
        <v>207</v>
      </c>
      <c r="C10" s="41" t="s">
        <v>267</v>
      </c>
      <c r="D10" s="42"/>
      <c r="E10" s="47">
        <v>0</v>
      </c>
      <c r="F10" s="47">
        <v>4</v>
      </c>
      <c r="G10" s="47">
        <v>0</v>
      </c>
      <c r="H10" s="47">
        <v>5</v>
      </c>
      <c r="I10" s="43">
        <f t="shared" si="0"/>
        <v>9</v>
      </c>
      <c r="J10" s="42"/>
      <c r="K10" s="42"/>
      <c r="L10" s="42"/>
      <c r="M10" s="42"/>
      <c r="N10" s="43">
        <f t="shared" si="1"/>
        <v>0</v>
      </c>
      <c r="O10" s="43">
        <f t="shared" si="2"/>
        <v>0</v>
      </c>
      <c r="P10" s="43">
        <f t="shared" si="2"/>
        <v>4</v>
      </c>
      <c r="Q10" s="43">
        <f t="shared" si="2"/>
        <v>0</v>
      </c>
      <c r="R10" s="43">
        <f t="shared" si="2"/>
        <v>5</v>
      </c>
      <c r="S10" s="43">
        <f t="shared" si="3"/>
        <v>9</v>
      </c>
      <c r="T10" s="42">
        <v>1.33</v>
      </c>
      <c r="U10" s="42">
        <v>2</v>
      </c>
      <c r="V10" s="42">
        <v>0</v>
      </c>
      <c r="W10" s="42">
        <v>4.75</v>
      </c>
      <c r="X10" s="43">
        <f t="shared" si="4"/>
        <v>8.08</v>
      </c>
      <c r="Y10" s="42">
        <v>1.33</v>
      </c>
      <c r="Z10" s="42">
        <v>2</v>
      </c>
      <c r="AA10" s="42">
        <v>0</v>
      </c>
      <c r="AB10" s="42">
        <v>4.75</v>
      </c>
      <c r="AC10" s="43">
        <f t="shared" si="5"/>
        <v>8.08</v>
      </c>
      <c r="AD10" s="43">
        <f t="shared" si="6"/>
        <v>480444</v>
      </c>
      <c r="AE10" s="43">
        <f t="shared" si="7"/>
        <v>34905.599999999999</v>
      </c>
      <c r="AF10" s="43">
        <f t="shared" si="8"/>
        <v>48480</v>
      </c>
      <c r="AG10" s="43">
        <f t="shared" si="9"/>
        <v>19392</v>
      </c>
      <c r="AH10" s="43">
        <f t="shared" si="10"/>
        <v>75952</v>
      </c>
      <c r="AI10" s="43">
        <f t="shared" si="11"/>
        <v>6464</v>
      </c>
      <c r="AJ10" s="43">
        <f t="shared" si="12"/>
        <v>0</v>
      </c>
      <c r="AK10" s="43">
        <f t="shared" si="13"/>
        <v>7756.8</v>
      </c>
      <c r="AL10" s="43">
        <f t="shared" si="14"/>
        <v>249886.6048</v>
      </c>
      <c r="AM10" s="43">
        <v>25245</v>
      </c>
      <c r="AN10" s="43">
        <f t="shared" si="15"/>
        <v>948526.0048</v>
      </c>
      <c r="AO10" s="50">
        <f t="shared" si="16"/>
        <v>758821</v>
      </c>
    </row>
    <row r="11" spans="1:41" ht="17.100000000000001" customHeight="1">
      <c r="A11" s="40" t="s">
        <v>2</v>
      </c>
      <c r="B11" s="41" t="s">
        <v>272</v>
      </c>
      <c r="C11" s="41" t="s">
        <v>267</v>
      </c>
      <c r="D11" s="42"/>
      <c r="E11" s="47">
        <v>7</v>
      </c>
      <c r="F11" s="47">
        <v>5.33</v>
      </c>
      <c r="G11" s="47">
        <v>0</v>
      </c>
      <c r="H11" s="47">
        <v>8</v>
      </c>
      <c r="I11" s="43">
        <f t="shared" si="0"/>
        <v>20.329999999999998</v>
      </c>
      <c r="J11" s="42">
        <v>4</v>
      </c>
      <c r="K11" s="42">
        <v>0</v>
      </c>
      <c r="L11" s="42">
        <v>0</v>
      </c>
      <c r="M11" s="42">
        <v>0</v>
      </c>
      <c r="N11" s="43">
        <f t="shared" si="1"/>
        <v>4</v>
      </c>
      <c r="O11" s="43">
        <f t="shared" si="2"/>
        <v>11</v>
      </c>
      <c r="P11" s="43">
        <f t="shared" si="2"/>
        <v>5.33</v>
      </c>
      <c r="Q11" s="43">
        <f t="shared" si="2"/>
        <v>0</v>
      </c>
      <c r="R11" s="43">
        <f t="shared" si="2"/>
        <v>8</v>
      </c>
      <c r="S11" s="43">
        <f t="shared" si="3"/>
        <v>24.33</v>
      </c>
      <c r="T11" s="42">
        <v>5.5</v>
      </c>
      <c r="U11" s="42">
        <v>8.75</v>
      </c>
      <c r="V11" s="42">
        <v>0</v>
      </c>
      <c r="W11" s="42">
        <v>9.33</v>
      </c>
      <c r="X11" s="43">
        <f t="shared" si="4"/>
        <v>23.58</v>
      </c>
      <c r="Y11" s="42">
        <v>5.5</v>
      </c>
      <c r="Z11" s="42">
        <v>8.75</v>
      </c>
      <c r="AA11" s="42">
        <v>0</v>
      </c>
      <c r="AB11" s="42">
        <v>9.33</v>
      </c>
      <c r="AC11" s="43">
        <f t="shared" si="5"/>
        <v>23.58</v>
      </c>
      <c r="AD11" s="43">
        <f t="shared" si="6"/>
        <v>1486578</v>
      </c>
      <c r="AE11" s="43">
        <f t="shared" si="7"/>
        <v>101865.59999999999</v>
      </c>
      <c r="AF11" s="43">
        <f t="shared" si="8"/>
        <v>141480</v>
      </c>
      <c r="AG11" s="43">
        <f t="shared" si="9"/>
        <v>56591.999999999993</v>
      </c>
      <c r="AH11" s="43">
        <f t="shared" si="10"/>
        <v>221651.99999999997</v>
      </c>
      <c r="AI11" s="43">
        <f t="shared" si="11"/>
        <v>18864</v>
      </c>
      <c r="AJ11" s="43">
        <f t="shared" si="12"/>
        <v>0</v>
      </c>
      <c r="AK11" s="43">
        <f t="shared" si="13"/>
        <v>22636.799999999999</v>
      </c>
      <c r="AL11" s="43">
        <f t="shared" si="14"/>
        <v>729248.28480000002</v>
      </c>
      <c r="AM11" s="43">
        <v>15075</v>
      </c>
      <c r="AN11" s="43">
        <f t="shared" si="15"/>
        <v>2793991.6847999999</v>
      </c>
      <c r="AO11" s="50">
        <f t="shared" si="16"/>
        <v>2235193</v>
      </c>
    </row>
    <row r="12" spans="1:41" ht="17.100000000000001" customHeight="1">
      <c r="A12" s="40" t="s">
        <v>2</v>
      </c>
      <c r="B12" s="41" t="s">
        <v>206</v>
      </c>
      <c r="C12" s="41" t="s">
        <v>267</v>
      </c>
      <c r="D12" s="42"/>
      <c r="E12" s="47">
        <v>8.33</v>
      </c>
      <c r="F12" s="47">
        <v>15.33</v>
      </c>
      <c r="G12" s="47">
        <v>0</v>
      </c>
      <c r="H12" s="47">
        <v>19</v>
      </c>
      <c r="I12" s="43">
        <f t="shared" si="0"/>
        <v>42.66</v>
      </c>
      <c r="J12" s="42">
        <v>2.33</v>
      </c>
      <c r="K12" s="42">
        <v>0</v>
      </c>
      <c r="L12" s="42">
        <v>0</v>
      </c>
      <c r="M12" s="42">
        <v>0</v>
      </c>
      <c r="N12" s="43">
        <f t="shared" si="1"/>
        <v>2.33</v>
      </c>
      <c r="O12" s="43">
        <f t="shared" si="2"/>
        <v>10.66</v>
      </c>
      <c r="P12" s="43">
        <f t="shared" si="2"/>
        <v>15.33</v>
      </c>
      <c r="Q12" s="43">
        <f t="shared" si="2"/>
        <v>0</v>
      </c>
      <c r="R12" s="43">
        <f t="shared" si="2"/>
        <v>19</v>
      </c>
      <c r="S12" s="43">
        <f t="shared" si="3"/>
        <v>44.99</v>
      </c>
      <c r="T12" s="42">
        <v>11</v>
      </c>
      <c r="U12" s="42">
        <v>9.5</v>
      </c>
      <c r="V12" s="42">
        <v>0</v>
      </c>
      <c r="W12" s="42">
        <v>23</v>
      </c>
      <c r="X12" s="43">
        <f t="shared" si="4"/>
        <v>43.5</v>
      </c>
      <c r="Y12" s="42">
        <v>11</v>
      </c>
      <c r="Z12" s="42">
        <v>9.5</v>
      </c>
      <c r="AA12" s="42">
        <v>0</v>
      </c>
      <c r="AB12" s="42">
        <v>23</v>
      </c>
      <c r="AC12" s="43">
        <f t="shared" si="5"/>
        <v>43.5</v>
      </c>
      <c r="AD12" s="43">
        <f t="shared" si="6"/>
        <v>2664300</v>
      </c>
      <c r="AE12" s="43">
        <f t="shared" si="7"/>
        <v>187920</v>
      </c>
      <c r="AF12" s="43">
        <f t="shared" si="8"/>
        <v>261000</v>
      </c>
      <c r="AG12" s="43">
        <f t="shared" si="9"/>
        <v>104400</v>
      </c>
      <c r="AH12" s="43">
        <f t="shared" si="10"/>
        <v>408900</v>
      </c>
      <c r="AI12" s="43">
        <f t="shared" si="11"/>
        <v>34800</v>
      </c>
      <c r="AJ12" s="43">
        <f t="shared" si="12"/>
        <v>0</v>
      </c>
      <c r="AK12" s="43">
        <f t="shared" si="13"/>
        <v>41760</v>
      </c>
      <c r="AL12" s="43">
        <f t="shared" si="14"/>
        <v>1345305.36</v>
      </c>
      <c r="AM12" s="43">
        <v>243384</v>
      </c>
      <c r="AN12" s="43">
        <f t="shared" si="15"/>
        <v>5291769.3600000003</v>
      </c>
      <c r="AO12" s="50">
        <f t="shared" si="16"/>
        <v>4233415</v>
      </c>
    </row>
    <row r="13" spans="1:41" ht="17.100000000000001" customHeight="1">
      <c r="A13" s="40" t="s">
        <v>2</v>
      </c>
      <c r="B13" s="41" t="s">
        <v>273</v>
      </c>
      <c r="C13" s="41" t="s">
        <v>267</v>
      </c>
      <c r="D13" s="42"/>
      <c r="E13" s="47">
        <v>0</v>
      </c>
      <c r="F13" s="47">
        <v>4</v>
      </c>
      <c r="G13" s="47">
        <v>0</v>
      </c>
      <c r="H13" s="47">
        <v>5</v>
      </c>
      <c r="I13" s="43">
        <f t="shared" si="0"/>
        <v>9</v>
      </c>
      <c r="J13" s="42"/>
      <c r="K13" s="42"/>
      <c r="L13" s="42"/>
      <c r="M13" s="42"/>
      <c r="N13" s="43">
        <f t="shared" si="1"/>
        <v>0</v>
      </c>
      <c r="O13" s="43">
        <f t="shared" si="2"/>
        <v>0</v>
      </c>
      <c r="P13" s="43">
        <f t="shared" si="2"/>
        <v>4</v>
      </c>
      <c r="Q13" s="43">
        <f t="shared" si="2"/>
        <v>0</v>
      </c>
      <c r="R13" s="43">
        <f t="shared" si="2"/>
        <v>5</v>
      </c>
      <c r="S13" s="43">
        <f t="shared" si="3"/>
        <v>9</v>
      </c>
      <c r="T13" s="42">
        <v>0.75</v>
      </c>
      <c r="U13" s="42">
        <v>2.83</v>
      </c>
      <c r="V13" s="42">
        <v>0</v>
      </c>
      <c r="W13" s="42">
        <v>5.17</v>
      </c>
      <c r="X13" s="43">
        <f t="shared" si="4"/>
        <v>8.75</v>
      </c>
      <c r="Y13" s="42">
        <v>0.75</v>
      </c>
      <c r="Z13" s="42">
        <v>2.83</v>
      </c>
      <c r="AA13" s="42">
        <v>0</v>
      </c>
      <c r="AB13" s="42">
        <v>5.17</v>
      </c>
      <c r="AC13" s="43">
        <f t="shared" si="5"/>
        <v>8.75</v>
      </c>
      <c r="AD13" s="43">
        <f t="shared" si="6"/>
        <v>512850</v>
      </c>
      <c r="AE13" s="43">
        <f t="shared" si="7"/>
        <v>37800</v>
      </c>
      <c r="AF13" s="43">
        <f t="shared" si="8"/>
        <v>52500</v>
      </c>
      <c r="AG13" s="43">
        <f t="shared" si="9"/>
        <v>21000</v>
      </c>
      <c r="AH13" s="43">
        <f t="shared" si="10"/>
        <v>82250</v>
      </c>
      <c r="AI13" s="43">
        <f t="shared" si="11"/>
        <v>7000</v>
      </c>
      <c r="AJ13" s="43">
        <f t="shared" si="12"/>
        <v>0</v>
      </c>
      <c r="AK13" s="43">
        <f t="shared" si="13"/>
        <v>8400</v>
      </c>
      <c r="AL13" s="43">
        <f t="shared" si="14"/>
        <v>270607.40000000002</v>
      </c>
      <c r="AM13" s="43"/>
      <c r="AN13" s="43">
        <f t="shared" si="15"/>
        <v>992407.4</v>
      </c>
      <c r="AO13" s="50">
        <f t="shared" si="16"/>
        <v>793926</v>
      </c>
    </row>
    <row r="14" spans="1:41" ht="17.100000000000001" customHeight="1">
      <c r="A14" s="40" t="s">
        <v>2</v>
      </c>
      <c r="B14" s="41" t="s">
        <v>203</v>
      </c>
      <c r="C14" s="41" t="s">
        <v>267</v>
      </c>
      <c r="D14" s="42"/>
      <c r="E14" s="47">
        <v>0</v>
      </c>
      <c r="F14" s="47">
        <v>5</v>
      </c>
      <c r="G14" s="47">
        <v>0</v>
      </c>
      <c r="H14" s="47">
        <v>6</v>
      </c>
      <c r="I14" s="43">
        <f t="shared" si="0"/>
        <v>11</v>
      </c>
      <c r="J14" s="42">
        <v>1</v>
      </c>
      <c r="K14" s="42">
        <v>0</v>
      </c>
      <c r="L14" s="42">
        <v>0</v>
      </c>
      <c r="M14" s="42">
        <v>0</v>
      </c>
      <c r="N14" s="43">
        <f t="shared" si="1"/>
        <v>1</v>
      </c>
      <c r="O14" s="43">
        <f t="shared" si="2"/>
        <v>1</v>
      </c>
      <c r="P14" s="43">
        <f t="shared" si="2"/>
        <v>5</v>
      </c>
      <c r="Q14" s="43">
        <f t="shared" si="2"/>
        <v>0</v>
      </c>
      <c r="R14" s="43">
        <f t="shared" si="2"/>
        <v>6</v>
      </c>
      <c r="S14" s="43">
        <f t="shared" si="3"/>
        <v>12</v>
      </c>
      <c r="T14" s="42">
        <v>1.33</v>
      </c>
      <c r="U14" s="42">
        <v>3.33</v>
      </c>
      <c r="V14" s="42">
        <v>2</v>
      </c>
      <c r="W14" s="42">
        <v>5.17</v>
      </c>
      <c r="X14" s="43">
        <f t="shared" si="4"/>
        <v>11.83</v>
      </c>
      <c r="Y14" s="42">
        <v>1.33</v>
      </c>
      <c r="Z14" s="42">
        <v>3.33</v>
      </c>
      <c r="AA14" s="42">
        <v>2</v>
      </c>
      <c r="AB14" s="42">
        <v>5.17</v>
      </c>
      <c r="AC14" s="43">
        <f t="shared" si="5"/>
        <v>11.83</v>
      </c>
      <c r="AD14" s="43">
        <f t="shared" si="6"/>
        <v>712950</v>
      </c>
      <c r="AE14" s="43">
        <f t="shared" si="7"/>
        <v>51105.599999999999</v>
      </c>
      <c r="AF14" s="43">
        <f t="shared" si="8"/>
        <v>70980</v>
      </c>
      <c r="AG14" s="43">
        <f t="shared" si="9"/>
        <v>28392</v>
      </c>
      <c r="AH14" s="43">
        <f t="shared" si="10"/>
        <v>111202</v>
      </c>
      <c r="AI14" s="43">
        <f t="shared" si="11"/>
        <v>9464</v>
      </c>
      <c r="AJ14" s="43">
        <f t="shared" si="12"/>
        <v>0</v>
      </c>
      <c r="AK14" s="43">
        <f t="shared" si="13"/>
        <v>11356.8</v>
      </c>
      <c r="AL14" s="43">
        <f t="shared" si="14"/>
        <v>365861.20480000001</v>
      </c>
      <c r="AM14" s="43">
        <v>33336.5</v>
      </c>
      <c r="AN14" s="43">
        <f t="shared" si="15"/>
        <v>1394648.1048000001</v>
      </c>
      <c r="AO14" s="50">
        <f t="shared" si="16"/>
        <v>1115718</v>
      </c>
    </row>
    <row r="15" spans="1:41" ht="17.100000000000001" customHeight="1">
      <c r="A15" s="40" t="s">
        <v>2</v>
      </c>
      <c r="B15" s="41" t="s">
        <v>274</v>
      </c>
      <c r="C15" s="41" t="s">
        <v>267</v>
      </c>
      <c r="D15" s="42"/>
      <c r="E15" s="47">
        <v>8</v>
      </c>
      <c r="F15" s="47">
        <v>4</v>
      </c>
      <c r="G15" s="47">
        <v>0</v>
      </c>
      <c r="H15" s="47">
        <v>5</v>
      </c>
      <c r="I15" s="43">
        <f t="shared" si="0"/>
        <v>17</v>
      </c>
      <c r="J15" s="42">
        <v>1</v>
      </c>
      <c r="K15" s="42">
        <v>0</v>
      </c>
      <c r="L15" s="42">
        <v>0</v>
      </c>
      <c r="M15" s="42">
        <v>0</v>
      </c>
      <c r="N15" s="43">
        <f t="shared" si="1"/>
        <v>1</v>
      </c>
      <c r="O15" s="43">
        <f t="shared" si="2"/>
        <v>9</v>
      </c>
      <c r="P15" s="43">
        <f t="shared" si="2"/>
        <v>4</v>
      </c>
      <c r="Q15" s="43">
        <f t="shared" si="2"/>
        <v>0</v>
      </c>
      <c r="R15" s="43">
        <f t="shared" si="2"/>
        <v>5</v>
      </c>
      <c r="S15" s="43">
        <f t="shared" si="3"/>
        <v>18</v>
      </c>
      <c r="T15" s="42">
        <v>1</v>
      </c>
      <c r="U15" s="42">
        <v>8.17</v>
      </c>
      <c r="V15" s="42">
        <v>0</v>
      </c>
      <c r="W15" s="42">
        <v>8.83</v>
      </c>
      <c r="X15" s="43">
        <f t="shared" si="4"/>
        <v>18</v>
      </c>
      <c r="Y15" s="42">
        <v>1</v>
      </c>
      <c r="Z15" s="42">
        <v>8.17</v>
      </c>
      <c r="AA15" s="42">
        <v>0</v>
      </c>
      <c r="AB15" s="42">
        <v>8.83</v>
      </c>
      <c r="AC15" s="43">
        <f t="shared" si="5"/>
        <v>18</v>
      </c>
      <c r="AD15" s="43">
        <f t="shared" si="6"/>
        <v>1076550</v>
      </c>
      <c r="AE15" s="43">
        <f t="shared" si="7"/>
        <v>77760</v>
      </c>
      <c r="AF15" s="43">
        <f t="shared" si="8"/>
        <v>108000</v>
      </c>
      <c r="AG15" s="43">
        <f t="shared" si="9"/>
        <v>43200</v>
      </c>
      <c r="AH15" s="43">
        <f t="shared" si="10"/>
        <v>169200</v>
      </c>
      <c r="AI15" s="43">
        <f t="shared" si="11"/>
        <v>14400</v>
      </c>
      <c r="AJ15" s="43">
        <f t="shared" si="12"/>
        <v>0</v>
      </c>
      <c r="AK15" s="43">
        <f t="shared" si="13"/>
        <v>17280</v>
      </c>
      <c r="AL15" s="43">
        <f t="shared" si="14"/>
        <v>556678.08000000007</v>
      </c>
      <c r="AM15" s="43"/>
      <c r="AN15" s="43">
        <f t="shared" si="15"/>
        <v>2063068.08</v>
      </c>
      <c r="AO15" s="50">
        <f t="shared" si="16"/>
        <v>1650454</v>
      </c>
    </row>
    <row r="16" spans="1:41" ht="17.100000000000001" customHeight="1">
      <c r="A16" s="40" t="s">
        <v>2</v>
      </c>
      <c r="B16" s="41" t="s">
        <v>275</v>
      </c>
      <c r="C16" s="41" t="s">
        <v>267</v>
      </c>
      <c r="D16" s="42"/>
      <c r="E16" s="47">
        <v>5</v>
      </c>
      <c r="F16" s="47">
        <v>10</v>
      </c>
      <c r="G16" s="47">
        <v>0</v>
      </c>
      <c r="H16" s="47">
        <v>10</v>
      </c>
      <c r="I16" s="43">
        <f t="shared" si="0"/>
        <v>25</v>
      </c>
      <c r="J16" s="42">
        <v>4</v>
      </c>
      <c r="K16" s="42">
        <v>1.67</v>
      </c>
      <c r="L16" s="42">
        <v>0</v>
      </c>
      <c r="M16" s="42">
        <v>0</v>
      </c>
      <c r="N16" s="43">
        <f t="shared" si="1"/>
        <v>5.67</v>
      </c>
      <c r="O16" s="43">
        <f t="shared" si="2"/>
        <v>9</v>
      </c>
      <c r="P16" s="43">
        <f t="shared" si="2"/>
        <v>11.67</v>
      </c>
      <c r="Q16" s="43">
        <f t="shared" si="2"/>
        <v>0</v>
      </c>
      <c r="R16" s="43">
        <f t="shared" si="2"/>
        <v>10</v>
      </c>
      <c r="S16" s="43">
        <f t="shared" si="3"/>
        <v>30.67</v>
      </c>
      <c r="T16" s="42">
        <v>7.08</v>
      </c>
      <c r="U16" s="42">
        <v>11</v>
      </c>
      <c r="V16" s="42">
        <v>0</v>
      </c>
      <c r="W16" s="42">
        <v>12.5</v>
      </c>
      <c r="X16" s="43">
        <f t="shared" si="4"/>
        <v>30.58</v>
      </c>
      <c r="Y16" s="42">
        <v>7.08</v>
      </c>
      <c r="Z16" s="42">
        <v>11</v>
      </c>
      <c r="AA16" s="42">
        <v>0</v>
      </c>
      <c r="AB16" s="42">
        <v>12.5</v>
      </c>
      <c r="AC16" s="43">
        <f t="shared" si="5"/>
        <v>30.58</v>
      </c>
      <c r="AD16" s="43">
        <f t="shared" si="6"/>
        <v>1921344</v>
      </c>
      <c r="AE16" s="43">
        <f t="shared" si="7"/>
        <v>132105.60000000001</v>
      </c>
      <c r="AF16" s="43">
        <f t="shared" si="8"/>
        <v>183480</v>
      </c>
      <c r="AG16" s="43">
        <f t="shared" si="9"/>
        <v>73392</v>
      </c>
      <c r="AH16" s="43">
        <f t="shared" si="10"/>
        <v>287452</v>
      </c>
      <c r="AI16" s="43">
        <f t="shared" si="11"/>
        <v>24464</v>
      </c>
      <c r="AJ16" s="43">
        <f t="shared" si="12"/>
        <v>0</v>
      </c>
      <c r="AK16" s="43">
        <f t="shared" si="13"/>
        <v>29356.799999999999</v>
      </c>
      <c r="AL16" s="43">
        <f t="shared" si="14"/>
        <v>945734.20479999995</v>
      </c>
      <c r="AM16" s="43">
        <v>98067.5</v>
      </c>
      <c r="AN16" s="43">
        <f t="shared" si="15"/>
        <v>3695396.1047999999</v>
      </c>
      <c r="AO16" s="50">
        <f t="shared" si="16"/>
        <v>2956317</v>
      </c>
    </row>
    <row r="17" spans="1:41" ht="17.100000000000001" customHeight="1">
      <c r="A17" s="40" t="s">
        <v>2</v>
      </c>
      <c r="B17" s="41" t="s">
        <v>201</v>
      </c>
      <c r="C17" s="41" t="s">
        <v>267</v>
      </c>
      <c r="D17" s="42"/>
      <c r="E17" s="47">
        <v>0</v>
      </c>
      <c r="F17" s="47">
        <v>5</v>
      </c>
      <c r="G17" s="47">
        <v>0</v>
      </c>
      <c r="H17" s="47">
        <v>6</v>
      </c>
      <c r="I17" s="43">
        <f t="shared" si="0"/>
        <v>11</v>
      </c>
      <c r="J17" s="42">
        <v>3</v>
      </c>
      <c r="K17" s="42">
        <v>0</v>
      </c>
      <c r="L17" s="42">
        <v>0</v>
      </c>
      <c r="M17" s="42">
        <v>0</v>
      </c>
      <c r="N17" s="43">
        <f t="shared" si="1"/>
        <v>3</v>
      </c>
      <c r="O17" s="43">
        <f t="shared" si="2"/>
        <v>3</v>
      </c>
      <c r="P17" s="43">
        <f t="shared" si="2"/>
        <v>5</v>
      </c>
      <c r="Q17" s="43">
        <f t="shared" si="2"/>
        <v>0</v>
      </c>
      <c r="R17" s="43">
        <f t="shared" si="2"/>
        <v>6</v>
      </c>
      <c r="S17" s="43">
        <f t="shared" si="3"/>
        <v>14</v>
      </c>
      <c r="T17" s="42">
        <v>3.5</v>
      </c>
      <c r="U17" s="42">
        <v>3</v>
      </c>
      <c r="V17" s="42">
        <v>0</v>
      </c>
      <c r="W17" s="42">
        <v>6.83</v>
      </c>
      <c r="X17" s="43">
        <f t="shared" si="4"/>
        <v>13.33</v>
      </c>
      <c r="Y17" s="42">
        <v>3.5</v>
      </c>
      <c r="Z17" s="42">
        <v>3</v>
      </c>
      <c r="AA17" s="42">
        <v>0</v>
      </c>
      <c r="AB17" s="42">
        <v>6.83</v>
      </c>
      <c r="AC17" s="43">
        <f t="shared" si="5"/>
        <v>13.33</v>
      </c>
      <c r="AD17" s="43">
        <f t="shared" si="6"/>
        <v>821028</v>
      </c>
      <c r="AE17" s="43">
        <f t="shared" si="7"/>
        <v>57585.599999999999</v>
      </c>
      <c r="AF17" s="43">
        <f t="shared" si="8"/>
        <v>79980</v>
      </c>
      <c r="AG17" s="43">
        <f t="shared" si="9"/>
        <v>31992</v>
      </c>
      <c r="AH17" s="43">
        <f t="shared" si="10"/>
        <v>125302</v>
      </c>
      <c r="AI17" s="43">
        <f t="shared" si="11"/>
        <v>10664</v>
      </c>
      <c r="AJ17" s="43">
        <f t="shared" si="12"/>
        <v>0</v>
      </c>
      <c r="AK17" s="43">
        <f t="shared" si="13"/>
        <v>12796.8</v>
      </c>
      <c r="AL17" s="43">
        <f t="shared" si="14"/>
        <v>412251.04480000003</v>
      </c>
      <c r="AM17" s="43">
        <v>15535.5</v>
      </c>
      <c r="AN17" s="43">
        <f t="shared" si="15"/>
        <v>1567134.9448000002</v>
      </c>
      <c r="AO17" s="50">
        <f t="shared" si="16"/>
        <v>1253708</v>
      </c>
    </row>
    <row r="18" spans="1:41" ht="17.100000000000001" customHeight="1">
      <c r="A18" s="40" t="s">
        <v>2</v>
      </c>
      <c r="B18" s="41" t="s">
        <v>276</v>
      </c>
      <c r="C18" s="41" t="s">
        <v>266</v>
      </c>
      <c r="D18" s="42">
        <v>1</v>
      </c>
      <c r="E18" s="47">
        <v>3</v>
      </c>
      <c r="F18" s="47">
        <v>2</v>
      </c>
      <c r="G18" s="47">
        <v>15.67</v>
      </c>
      <c r="H18" s="47">
        <v>2</v>
      </c>
      <c r="I18" s="43">
        <f t="shared" si="0"/>
        <v>22.67</v>
      </c>
      <c r="J18" s="42">
        <v>3</v>
      </c>
      <c r="K18" s="42">
        <v>0</v>
      </c>
      <c r="L18" s="42">
        <v>0</v>
      </c>
      <c r="M18" s="42">
        <v>0</v>
      </c>
      <c r="N18" s="43">
        <f t="shared" si="1"/>
        <v>3</v>
      </c>
      <c r="O18" s="43">
        <f t="shared" si="2"/>
        <v>6</v>
      </c>
      <c r="P18" s="43">
        <f t="shared" si="2"/>
        <v>2</v>
      </c>
      <c r="Q18" s="43">
        <f t="shared" si="2"/>
        <v>15.67</v>
      </c>
      <c r="R18" s="43">
        <f t="shared" si="2"/>
        <v>2</v>
      </c>
      <c r="S18" s="43">
        <f t="shared" si="3"/>
        <v>25.67</v>
      </c>
      <c r="T18" s="42">
        <v>5.5</v>
      </c>
      <c r="U18" s="42">
        <v>2.25</v>
      </c>
      <c r="V18" s="42">
        <v>15</v>
      </c>
      <c r="W18" s="42">
        <v>2</v>
      </c>
      <c r="X18" s="43">
        <f t="shared" si="4"/>
        <v>24.75</v>
      </c>
      <c r="Y18" s="42">
        <v>5.5</v>
      </c>
      <c r="Z18" s="42">
        <v>2.25</v>
      </c>
      <c r="AA18" s="42">
        <v>15</v>
      </c>
      <c r="AB18" s="42">
        <v>2</v>
      </c>
      <c r="AC18" s="43">
        <f t="shared" si="5"/>
        <v>24.75</v>
      </c>
      <c r="AD18" s="43">
        <f t="shared" si="6"/>
        <v>1592370</v>
      </c>
      <c r="AE18" s="43">
        <f t="shared" si="7"/>
        <v>106920</v>
      </c>
      <c r="AF18" s="43">
        <f t="shared" si="8"/>
        <v>148500</v>
      </c>
      <c r="AG18" s="43">
        <f t="shared" si="9"/>
        <v>59400</v>
      </c>
      <c r="AH18" s="43">
        <f t="shared" si="10"/>
        <v>232650</v>
      </c>
      <c r="AI18" s="43">
        <f t="shared" si="11"/>
        <v>19800</v>
      </c>
      <c r="AJ18" s="43">
        <f t="shared" si="12"/>
        <v>10000</v>
      </c>
      <c r="AK18" s="43">
        <f t="shared" si="13"/>
        <v>23760</v>
      </c>
      <c r="AL18" s="43">
        <f t="shared" si="14"/>
        <v>765432.36</v>
      </c>
      <c r="AM18" s="43"/>
      <c r="AN18" s="43">
        <f t="shared" si="15"/>
        <v>2958832.36</v>
      </c>
      <c r="AO18" s="50">
        <f t="shared" si="16"/>
        <v>2367066</v>
      </c>
    </row>
    <row r="19" spans="1:41" ht="17.100000000000001" customHeight="1">
      <c r="A19" s="40" t="s">
        <v>2</v>
      </c>
      <c r="B19" s="41" t="s">
        <v>277</v>
      </c>
      <c r="C19" s="41" t="s">
        <v>266</v>
      </c>
      <c r="D19" s="42">
        <v>1</v>
      </c>
      <c r="E19" s="47">
        <v>0</v>
      </c>
      <c r="F19" s="47">
        <v>2</v>
      </c>
      <c r="G19" s="47">
        <v>36.67</v>
      </c>
      <c r="H19" s="47">
        <v>2.67</v>
      </c>
      <c r="I19" s="43">
        <f t="shared" si="0"/>
        <v>41.34</v>
      </c>
      <c r="J19" s="42"/>
      <c r="K19" s="42"/>
      <c r="L19" s="42">
        <v>1.67</v>
      </c>
      <c r="M19" s="42"/>
      <c r="N19" s="43">
        <f t="shared" si="1"/>
        <v>1.67</v>
      </c>
      <c r="O19" s="43">
        <f t="shared" si="2"/>
        <v>0</v>
      </c>
      <c r="P19" s="43">
        <f t="shared" si="2"/>
        <v>2</v>
      </c>
      <c r="Q19" s="43">
        <f t="shared" si="2"/>
        <v>38.340000000000003</v>
      </c>
      <c r="R19" s="43">
        <f t="shared" si="2"/>
        <v>2.67</v>
      </c>
      <c r="S19" s="43">
        <f t="shared" si="3"/>
        <v>43.010000000000005</v>
      </c>
      <c r="T19" s="42">
        <v>0</v>
      </c>
      <c r="U19" s="42">
        <v>2</v>
      </c>
      <c r="V19" s="42">
        <v>39</v>
      </c>
      <c r="W19" s="42">
        <v>2</v>
      </c>
      <c r="X19" s="43">
        <f t="shared" si="4"/>
        <v>43</v>
      </c>
      <c r="Y19" s="42">
        <v>0</v>
      </c>
      <c r="Z19" s="42">
        <v>2</v>
      </c>
      <c r="AA19" s="42">
        <v>39</v>
      </c>
      <c r="AB19" s="42">
        <v>2</v>
      </c>
      <c r="AC19" s="43">
        <f t="shared" si="5"/>
        <v>43</v>
      </c>
      <c r="AD19" s="43">
        <f t="shared" si="6"/>
        <v>2620392</v>
      </c>
      <c r="AE19" s="43">
        <f t="shared" si="7"/>
        <v>185760</v>
      </c>
      <c r="AF19" s="43">
        <f t="shared" si="8"/>
        <v>258000</v>
      </c>
      <c r="AG19" s="43">
        <f t="shared" si="9"/>
        <v>103200</v>
      </c>
      <c r="AH19" s="43">
        <f t="shared" si="10"/>
        <v>404200</v>
      </c>
      <c r="AI19" s="43">
        <f t="shared" si="11"/>
        <v>34400</v>
      </c>
      <c r="AJ19" s="43">
        <f t="shared" si="12"/>
        <v>10000</v>
      </c>
      <c r="AK19" s="43">
        <f t="shared" si="13"/>
        <v>41280</v>
      </c>
      <c r="AL19" s="43">
        <f t="shared" si="14"/>
        <v>1329842.08</v>
      </c>
      <c r="AM19" s="43"/>
      <c r="AN19" s="43">
        <f t="shared" si="15"/>
        <v>4987074.08</v>
      </c>
      <c r="AO19" s="50">
        <f t="shared" si="16"/>
        <v>3989659</v>
      </c>
    </row>
    <row r="20" spans="1:41" ht="17.100000000000001" customHeight="1">
      <c r="A20" s="40" t="s">
        <v>2</v>
      </c>
      <c r="B20" s="41" t="s">
        <v>278</v>
      </c>
      <c r="C20" s="41" t="s">
        <v>266</v>
      </c>
      <c r="D20" s="42">
        <v>1</v>
      </c>
      <c r="E20" s="47">
        <v>0</v>
      </c>
      <c r="F20" s="47">
        <v>1.33</v>
      </c>
      <c r="G20" s="47">
        <v>9.67</v>
      </c>
      <c r="H20" s="47">
        <v>1.33</v>
      </c>
      <c r="I20" s="43">
        <f>SUM(E20:H20)</f>
        <v>12.33</v>
      </c>
      <c r="J20" s="42">
        <v>2</v>
      </c>
      <c r="K20" s="42">
        <v>0</v>
      </c>
      <c r="L20" s="42">
        <v>1</v>
      </c>
      <c r="M20" s="42">
        <v>0</v>
      </c>
      <c r="N20" s="43">
        <f>SUM(J20:M20)</f>
        <v>3</v>
      </c>
      <c r="O20" s="43">
        <f t="shared" ref="O20:R21" si="17">E20+J20</f>
        <v>2</v>
      </c>
      <c r="P20" s="43">
        <f t="shared" si="17"/>
        <v>1.33</v>
      </c>
      <c r="Q20" s="43">
        <f t="shared" si="17"/>
        <v>10.67</v>
      </c>
      <c r="R20" s="43">
        <f t="shared" si="17"/>
        <v>1.33</v>
      </c>
      <c r="S20" s="43">
        <f>SUM(O20:R20)</f>
        <v>15.33</v>
      </c>
      <c r="T20" s="42">
        <v>1.33</v>
      </c>
      <c r="U20" s="42">
        <v>2</v>
      </c>
      <c r="V20" s="42">
        <v>9.92</v>
      </c>
      <c r="W20" s="42">
        <v>1.33</v>
      </c>
      <c r="X20" s="43">
        <f>SUM(T20:W20)</f>
        <v>14.58</v>
      </c>
      <c r="Y20" s="42">
        <v>1.33</v>
      </c>
      <c r="Z20" s="42">
        <v>2</v>
      </c>
      <c r="AA20" s="42">
        <v>9.92</v>
      </c>
      <c r="AB20" s="42">
        <v>1.33</v>
      </c>
      <c r="AC20" s="43">
        <f>SUM(Y20:AB20)</f>
        <v>14.58</v>
      </c>
      <c r="AD20" s="43">
        <f t="shared" si="6"/>
        <v>910361.76000000013</v>
      </c>
      <c r="AE20" s="43">
        <f>AC20*4320</f>
        <v>62985.599999999999</v>
      </c>
      <c r="AF20" s="43">
        <f>AC20*6000</f>
        <v>87480</v>
      </c>
      <c r="AG20" s="43">
        <f>AC20*2400</f>
        <v>34992</v>
      </c>
      <c r="AH20" s="43">
        <f>AC20*9400</f>
        <v>137052</v>
      </c>
      <c r="AI20" s="43">
        <f>AC20*800</f>
        <v>11664</v>
      </c>
      <c r="AJ20" s="43">
        <f>D20*50*200</f>
        <v>10000</v>
      </c>
      <c r="AK20" s="43">
        <f>AC20*960</f>
        <v>13996.8</v>
      </c>
      <c r="AL20" s="43">
        <f t="shared" si="14"/>
        <v>450909.24480000004</v>
      </c>
      <c r="AN20" s="43">
        <f>SUM(AD20:AM20)</f>
        <v>1719441.4048000001</v>
      </c>
      <c r="AO20" s="50">
        <f t="shared" si="16"/>
        <v>1375553</v>
      </c>
    </row>
    <row r="21" spans="1:41" ht="17.100000000000001" customHeight="1">
      <c r="A21" s="40" t="s">
        <v>2</v>
      </c>
      <c r="B21" s="41" t="s">
        <v>279</v>
      </c>
      <c r="C21" s="41" t="s">
        <v>267</v>
      </c>
      <c r="D21" s="42"/>
      <c r="E21" s="47">
        <v>3</v>
      </c>
      <c r="F21" s="47">
        <v>3.33</v>
      </c>
      <c r="G21" s="47">
        <v>0</v>
      </c>
      <c r="H21" s="47">
        <v>5.33</v>
      </c>
      <c r="I21" s="43">
        <f>SUM(E21:H21)</f>
        <v>11.66</v>
      </c>
      <c r="J21" s="42">
        <v>6</v>
      </c>
      <c r="K21" s="42">
        <v>1</v>
      </c>
      <c r="L21" s="42">
        <v>0</v>
      </c>
      <c r="M21" s="42">
        <v>1</v>
      </c>
      <c r="N21" s="43">
        <f>SUM(J21:M21)</f>
        <v>8</v>
      </c>
      <c r="O21" s="43">
        <f t="shared" si="17"/>
        <v>9</v>
      </c>
      <c r="P21" s="43">
        <f t="shared" si="17"/>
        <v>4.33</v>
      </c>
      <c r="Q21" s="43">
        <f t="shared" si="17"/>
        <v>0</v>
      </c>
      <c r="R21" s="43">
        <f t="shared" si="17"/>
        <v>6.33</v>
      </c>
      <c r="S21" s="43">
        <f>SUM(O21:R21)</f>
        <v>19.66</v>
      </c>
      <c r="T21" s="42">
        <v>7.17</v>
      </c>
      <c r="U21" s="42">
        <v>4.5</v>
      </c>
      <c r="V21" s="42">
        <v>0</v>
      </c>
      <c r="W21" s="42">
        <v>7.67</v>
      </c>
      <c r="X21" s="43">
        <f>SUM(T21:W21)</f>
        <v>19.34</v>
      </c>
      <c r="Y21" s="42">
        <v>7.17</v>
      </c>
      <c r="Z21" s="42">
        <v>4.5</v>
      </c>
      <c r="AA21" s="42">
        <v>0</v>
      </c>
      <c r="AB21" s="42">
        <v>7.67</v>
      </c>
      <c r="AC21" s="43">
        <f>SUM(Y21:AB21)</f>
        <v>19.34</v>
      </c>
      <c r="AD21" s="43">
        <f t="shared" si="6"/>
        <v>1246128</v>
      </c>
      <c r="AE21" s="43">
        <f>AC21*4320</f>
        <v>83548.800000000003</v>
      </c>
      <c r="AF21" s="43">
        <f>AC21*6000</f>
        <v>116040</v>
      </c>
      <c r="AG21" s="43">
        <f>AC21*2400</f>
        <v>46416</v>
      </c>
      <c r="AH21" s="43">
        <f>AC21*9400</f>
        <v>181796</v>
      </c>
      <c r="AI21" s="43">
        <f>AC21*800</f>
        <v>15472</v>
      </c>
      <c r="AJ21" s="43">
        <f>D21*50*200</f>
        <v>0</v>
      </c>
      <c r="AK21" s="43">
        <f>AC21*960</f>
        <v>18566.400000000001</v>
      </c>
      <c r="AL21" s="43">
        <f t="shared" si="14"/>
        <v>598119.67040000006</v>
      </c>
      <c r="AM21" s="43">
        <v>647636.75</v>
      </c>
      <c r="AN21" s="43">
        <f>SUM(AD21:AM21)</f>
        <v>2953723.6203999999</v>
      </c>
      <c r="AO21" s="50">
        <f t="shared" si="16"/>
        <v>2362979</v>
      </c>
    </row>
    <row r="22" spans="1:41" s="48" customFormat="1" ht="17.100000000000001" customHeight="1">
      <c r="A22" s="40" t="s">
        <v>2</v>
      </c>
      <c r="B22" s="41" t="s">
        <v>280</v>
      </c>
      <c r="C22" s="41" t="s">
        <v>266</v>
      </c>
      <c r="D22" s="42">
        <v>1</v>
      </c>
      <c r="E22" s="47">
        <v>0</v>
      </c>
      <c r="F22" s="47">
        <v>2</v>
      </c>
      <c r="G22" s="47">
        <v>7</v>
      </c>
      <c r="H22" s="47">
        <v>1</v>
      </c>
      <c r="I22" s="43">
        <f t="shared" si="0"/>
        <v>10</v>
      </c>
      <c r="J22" s="42"/>
      <c r="K22" s="42"/>
      <c r="L22" s="42"/>
      <c r="M22" s="42"/>
      <c r="N22" s="43">
        <f t="shared" si="1"/>
        <v>0</v>
      </c>
      <c r="O22" s="43">
        <f t="shared" si="2"/>
        <v>0</v>
      </c>
      <c r="P22" s="43">
        <f t="shared" si="2"/>
        <v>2</v>
      </c>
      <c r="Q22" s="43">
        <f t="shared" si="2"/>
        <v>7</v>
      </c>
      <c r="R22" s="43">
        <f t="shared" si="2"/>
        <v>1</v>
      </c>
      <c r="S22" s="43">
        <f t="shared" si="3"/>
        <v>10</v>
      </c>
      <c r="T22" s="42">
        <v>0.83</v>
      </c>
      <c r="U22" s="42">
        <v>1.92</v>
      </c>
      <c r="V22" s="42">
        <v>5.08</v>
      </c>
      <c r="W22" s="42">
        <v>0.92</v>
      </c>
      <c r="X22" s="43">
        <f t="shared" si="4"/>
        <v>8.75</v>
      </c>
      <c r="Y22" s="42">
        <v>0.83</v>
      </c>
      <c r="Z22" s="42">
        <v>1.92</v>
      </c>
      <c r="AA22" s="42">
        <v>5.08</v>
      </c>
      <c r="AB22" s="42">
        <v>0.92</v>
      </c>
      <c r="AC22" s="43">
        <f t="shared" si="5"/>
        <v>8.75</v>
      </c>
      <c r="AD22" s="43">
        <f t="shared" si="6"/>
        <v>549618.24</v>
      </c>
      <c r="AE22" s="43">
        <f t="shared" si="7"/>
        <v>37800</v>
      </c>
      <c r="AF22" s="43">
        <f t="shared" si="8"/>
        <v>52500</v>
      </c>
      <c r="AG22" s="43">
        <f t="shared" si="9"/>
        <v>21000</v>
      </c>
      <c r="AH22" s="43">
        <f t="shared" si="10"/>
        <v>82250</v>
      </c>
      <c r="AI22" s="43">
        <f t="shared" si="11"/>
        <v>7000</v>
      </c>
      <c r="AJ22" s="43">
        <f t="shared" si="12"/>
        <v>10000</v>
      </c>
      <c r="AK22" s="43">
        <f t="shared" si="13"/>
        <v>8400</v>
      </c>
      <c r="AL22" s="43">
        <f t="shared" si="14"/>
        <v>270607.40000000002</v>
      </c>
      <c r="AM22" s="43"/>
      <c r="AN22" s="43">
        <f t="shared" si="15"/>
        <v>1039175.64</v>
      </c>
      <c r="AO22" s="50">
        <f t="shared" si="16"/>
        <v>831341</v>
      </c>
    </row>
    <row r="23" spans="1:41" s="46" customFormat="1" ht="17.100000000000001" customHeight="1">
      <c r="A23" s="44"/>
      <c r="B23" s="44" t="s">
        <v>281</v>
      </c>
      <c r="C23" s="44"/>
      <c r="D23" s="45">
        <f t="shared" ref="D23:AO23" si="18">SUM(D4:D22)</f>
        <v>16</v>
      </c>
      <c r="E23" s="45">
        <f t="shared" si="18"/>
        <v>60.33</v>
      </c>
      <c r="F23" s="45">
        <f t="shared" si="18"/>
        <v>80.66</v>
      </c>
      <c r="G23" s="45">
        <f t="shared" si="18"/>
        <v>219.33999999999995</v>
      </c>
      <c r="H23" s="45">
        <f t="shared" si="18"/>
        <v>100.33999999999999</v>
      </c>
      <c r="I23" s="45">
        <f t="shared" si="18"/>
        <v>460.66999999999996</v>
      </c>
      <c r="J23" s="45">
        <f t="shared" si="18"/>
        <v>32.42</v>
      </c>
      <c r="K23" s="45">
        <f t="shared" si="18"/>
        <v>3.67</v>
      </c>
      <c r="L23" s="45">
        <f t="shared" si="18"/>
        <v>4</v>
      </c>
      <c r="M23" s="45">
        <f t="shared" si="18"/>
        <v>1</v>
      </c>
      <c r="N23" s="45">
        <f t="shared" si="18"/>
        <v>41.09</v>
      </c>
      <c r="O23" s="45">
        <f t="shared" si="18"/>
        <v>92.75</v>
      </c>
      <c r="P23" s="45">
        <f t="shared" si="18"/>
        <v>84.33</v>
      </c>
      <c r="Q23" s="45">
        <f t="shared" si="18"/>
        <v>223.33999999999997</v>
      </c>
      <c r="R23" s="45">
        <f t="shared" si="18"/>
        <v>101.33999999999999</v>
      </c>
      <c r="S23" s="45">
        <f t="shared" si="18"/>
        <v>501.76000000000005</v>
      </c>
      <c r="T23" s="45">
        <f t="shared" si="18"/>
        <v>74.33</v>
      </c>
      <c r="U23" s="45">
        <f t="shared" si="18"/>
        <v>76.91</v>
      </c>
      <c r="V23" s="45">
        <f t="shared" si="18"/>
        <v>221.17000000000002</v>
      </c>
      <c r="W23" s="45">
        <f t="shared" si="18"/>
        <v>108.5</v>
      </c>
      <c r="X23" s="45">
        <f t="shared" si="18"/>
        <v>480.90999999999997</v>
      </c>
      <c r="Y23" s="45">
        <f t="shared" si="18"/>
        <v>71.749999999999986</v>
      </c>
      <c r="Z23" s="45">
        <f t="shared" si="18"/>
        <v>77.33</v>
      </c>
      <c r="AA23" s="45">
        <f t="shared" si="18"/>
        <v>222</v>
      </c>
      <c r="AB23" s="45">
        <f t="shared" si="18"/>
        <v>109.34</v>
      </c>
      <c r="AC23" s="45">
        <f t="shared" si="18"/>
        <v>480.41999999999996</v>
      </c>
      <c r="AD23" s="45">
        <f t="shared" si="18"/>
        <v>29872938</v>
      </c>
      <c r="AE23" s="45">
        <f t="shared" si="18"/>
        <v>2075414.4000000006</v>
      </c>
      <c r="AF23" s="45">
        <f t="shared" si="18"/>
        <v>2882520</v>
      </c>
      <c r="AG23" s="45">
        <f t="shared" si="18"/>
        <v>1153008</v>
      </c>
      <c r="AH23" s="45">
        <f t="shared" si="18"/>
        <v>4515948</v>
      </c>
      <c r="AI23" s="45">
        <f t="shared" si="18"/>
        <v>384336</v>
      </c>
      <c r="AJ23" s="45">
        <f t="shared" si="18"/>
        <v>160000</v>
      </c>
      <c r="AK23" s="45">
        <f t="shared" si="18"/>
        <v>461203.19999999995</v>
      </c>
      <c r="AL23" s="45">
        <f t="shared" si="18"/>
        <v>14857737.9552</v>
      </c>
      <c r="AM23" s="45">
        <f t="shared" si="18"/>
        <v>1114677.25</v>
      </c>
      <c r="AN23" s="45">
        <f t="shared" si="18"/>
        <v>57477782.805199988</v>
      </c>
      <c r="AO23" s="45">
        <f t="shared" si="18"/>
        <v>45982225</v>
      </c>
    </row>
  </sheetData>
  <mergeCells count="12">
    <mergeCell ref="A1:AO1"/>
    <mergeCell ref="AD2:AN2"/>
    <mergeCell ref="AO2:AO3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verticalDpi="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O58" sqref="O58"/>
    </sheetView>
  </sheetViews>
  <sheetFormatPr defaultRowHeight="13.5" outlineLevelRow="2"/>
  <cols>
    <col min="1" max="1" width="9.625" style="106" customWidth="1"/>
    <col min="2" max="2" width="26.875" style="106" customWidth="1"/>
    <col min="3" max="3" width="13.5" style="106" customWidth="1"/>
    <col min="4" max="4" width="14" style="106" customWidth="1"/>
    <col min="5" max="7" width="15.625" style="106" customWidth="1"/>
    <col min="8" max="8" width="11.75" style="105" customWidth="1"/>
    <col min="9" max="9" width="12.875" style="104" customWidth="1"/>
    <col min="10" max="16384" width="9" style="106"/>
  </cols>
  <sheetData>
    <row r="1" spans="1:9" ht="35.25" customHeight="1">
      <c r="A1" s="206" t="s">
        <v>536</v>
      </c>
      <c r="B1" s="206"/>
      <c r="C1" s="206"/>
      <c r="D1" s="206"/>
      <c r="E1" s="206"/>
      <c r="F1" s="207"/>
      <c r="G1" s="207"/>
      <c r="H1" s="201"/>
      <c r="I1" s="201"/>
    </row>
    <row r="2" spans="1:9" s="167" customFormat="1" ht="18" customHeight="1">
      <c r="A2" s="164" t="s">
        <v>363</v>
      </c>
      <c r="B2" s="165" t="s">
        <v>286</v>
      </c>
      <c r="C2" s="165" t="s">
        <v>534</v>
      </c>
      <c r="D2" s="165" t="s">
        <v>535</v>
      </c>
      <c r="E2" s="165" t="s">
        <v>537</v>
      </c>
      <c r="F2" s="166" t="s">
        <v>538</v>
      </c>
      <c r="G2" s="166" t="s">
        <v>539</v>
      </c>
      <c r="H2" s="164" t="s">
        <v>533</v>
      </c>
      <c r="I2" s="164" t="s">
        <v>532</v>
      </c>
    </row>
    <row r="3" spans="1:9" ht="18" customHeight="1" outlineLevel="2">
      <c r="A3" s="107" t="s">
        <v>364</v>
      </c>
      <c r="B3" s="108" t="s">
        <v>205</v>
      </c>
      <c r="C3" s="111"/>
      <c r="D3" s="111">
        <v>3570</v>
      </c>
      <c r="E3" s="111">
        <v>3570</v>
      </c>
      <c r="F3" s="111"/>
      <c r="G3" s="111">
        <v>3570</v>
      </c>
      <c r="H3" s="107"/>
      <c r="I3" s="103">
        <f t="shared" ref="I3:I12" si="0">G3+H3</f>
        <v>3570</v>
      </c>
    </row>
    <row r="4" spans="1:9" ht="18" customHeight="1" outlineLevel="2">
      <c r="A4" s="107" t="s">
        <v>364</v>
      </c>
      <c r="B4" s="108" t="s">
        <v>272</v>
      </c>
      <c r="C4" s="111"/>
      <c r="D4" s="111"/>
      <c r="E4" s="111"/>
      <c r="F4" s="114">
        <v>15075</v>
      </c>
      <c r="G4" s="111">
        <f>E4-F4</f>
        <v>-15075</v>
      </c>
      <c r="H4" s="107"/>
      <c r="I4" s="103">
        <f t="shared" si="0"/>
        <v>-15075</v>
      </c>
    </row>
    <row r="5" spans="1:9" ht="18" customHeight="1" outlineLevel="2">
      <c r="A5" s="107" t="s">
        <v>364</v>
      </c>
      <c r="B5" s="108" t="s">
        <v>206</v>
      </c>
      <c r="C5" s="111">
        <v>89034</v>
      </c>
      <c r="D5" s="111">
        <v>97768</v>
      </c>
      <c r="E5" s="111">
        <f t="shared" ref="E5:E11" si="1">C5+D5</f>
        <v>186802</v>
      </c>
      <c r="F5" s="110">
        <v>243384</v>
      </c>
      <c r="G5" s="112">
        <f t="shared" ref="G5:G11" si="2">E5-F5</f>
        <v>-56582</v>
      </c>
      <c r="H5" s="107"/>
      <c r="I5" s="103">
        <f t="shared" si="0"/>
        <v>-56582</v>
      </c>
    </row>
    <row r="6" spans="1:9" ht="18" customHeight="1" outlineLevel="2">
      <c r="A6" s="107" t="s">
        <v>364</v>
      </c>
      <c r="B6" s="108" t="s">
        <v>208</v>
      </c>
      <c r="C6" s="111">
        <v>5869</v>
      </c>
      <c r="D6" s="111">
        <v>31881</v>
      </c>
      <c r="E6" s="111">
        <f t="shared" si="1"/>
        <v>37750</v>
      </c>
      <c r="F6" s="110">
        <v>36397</v>
      </c>
      <c r="G6" s="112">
        <f t="shared" si="2"/>
        <v>1353</v>
      </c>
      <c r="H6" s="107"/>
      <c r="I6" s="103">
        <f t="shared" si="0"/>
        <v>1353</v>
      </c>
    </row>
    <row r="7" spans="1:9" ht="18" customHeight="1" outlineLevel="2">
      <c r="A7" s="107" t="s">
        <v>364</v>
      </c>
      <c r="B7" s="108" t="s">
        <v>207</v>
      </c>
      <c r="C7" s="111">
        <v>7331</v>
      </c>
      <c r="D7" s="111">
        <v>12914.5</v>
      </c>
      <c r="E7" s="111">
        <f t="shared" si="1"/>
        <v>20245.5</v>
      </c>
      <c r="F7" s="110">
        <v>25245</v>
      </c>
      <c r="G7" s="112">
        <f t="shared" si="2"/>
        <v>-4999.5</v>
      </c>
      <c r="H7" s="107"/>
      <c r="I7" s="103">
        <f t="shared" si="0"/>
        <v>-4999.5</v>
      </c>
    </row>
    <row r="8" spans="1:9" ht="18" customHeight="1" outlineLevel="2">
      <c r="A8" s="107" t="s">
        <v>364</v>
      </c>
      <c r="B8" s="108" t="s">
        <v>358</v>
      </c>
      <c r="C8" s="111">
        <v>117548.5</v>
      </c>
      <c r="D8" s="111">
        <v>211140</v>
      </c>
      <c r="E8" s="111">
        <f t="shared" si="1"/>
        <v>328688.5</v>
      </c>
      <c r="F8" s="110">
        <v>647636.75</v>
      </c>
      <c r="G8" s="112">
        <f t="shared" si="2"/>
        <v>-318948.25</v>
      </c>
      <c r="H8" s="107"/>
      <c r="I8" s="103">
        <f t="shared" si="0"/>
        <v>-318948.25</v>
      </c>
    </row>
    <row r="9" spans="1:9" ht="18" customHeight="1" outlineLevel="2">
      <c r="A9" s="107" t="s">
        <v>364</v>
      </c>
      <c r="B9" s="108" t="s">
        <v>201</v>
      </c>
      <c r="C9" s="111">
        <v>4977</v>
      </c>
      <c r="D9" s="111">
        <v>11320</v>
      </c>
      <c r="E9" s="111">
        <f t="shared" si="1"/>
        <v>16297</v>
      </c>
      <c r="F9" s="110">
        <v>15535.5</v>
      </c>
      <c r="G9" s="112">
        <f t="shared" si="2"/>
        <v>761.5</v>
      </c>
      <c r="H9" s="107"/>
      <c r="I9" s="103">
        <f t="shared" si="0"/>
        <v>761.5</v>
      </c>
    </row>
    <row r="10" spans="1:9" ht="18" customHeight="1" outlineLevel="2">
      <c r="A10" s="107" t="s">
        <v>364</v>
      </c>
      <c r="B10" s="108" t="s">
        <v>202</v>
      </c>
      <c r="C10" s="111">
        <v>48067.5</v>
      </c>
      <c r="D10" s="111">
        <v>75648.5</v>
      </c>
      <c r="E10" s="111">
        <f t="shared" si="1"/>
        <v>123716</v>
      </c>
      <c r="F10" s="110">
        <v>98067.5</v>
      </c>
      <c r="G10" s="112">
        <f t="shared" si="2"/>
        <v>25648.5</v>
      </c>
      <c r="H10" s="107"/>
      <c r="I10" s="103">
        <f t="shared" si="0"/>
        <v>25648.5</v>
      </c>
    </row>
    <row r="11" spans="1:9" ht="18" customHeight="1" outlineLevel="2">
      <c r="A11" s="107" t="s">
        <v>364</v>
      </c>
      <c r="B11" s="108" t="s">
        <v>203</v>
      </c>
      <c r="C11" s="111">
        <v>8160</v>
      </c>
      <c r="D11" s="111">
        <v>10667.5</v>
      </c>
      <c r="E11" s="111">
        <f t="shared" si="1"/>
        <v>18827.5</v>
      </c>
      <c r="F11" s="110">
        <v>33336.5</v>
      </c>
      <c r="G11" s="112">
        <f t="shared" si="2"/>
        <v>-14509</v>
      </c>
      <c r="H11" s="107"/>
      <c r="I11" s="103">
        <f t="shared" si="0"/>
        <v>-14509</v>
      </c>
    </row>
    <row r="12" spans="1:9" ht="18" customHeight="1" outlineLevel="2">
      <c r="A12" s="107" t="s">
        <v>364</v>
      </c>
      <c r="B12" s="108" t="s">
        <v>204</v>
      </c>
      <c r="C12" s="111"/>
      <c r="D12" s="111">
        <v>4895.67</v>
      </c>
      <c r="E12" s="111">
        <v>4895.67</v>
      </c>
      <c r="F12" s="111"/>
      <c r="G12" s="111">
        <v>4895.67</v>
      </c>
      <c r="H12" s="107"/>
      <c r="I12" s="103">
        <f t="shared" si="0"/>
        <v>4895.67</v>
      </c>
    </row>
    <row r="13" spans="1:9" ht="18" customHeight="1" outlineLevel="1">
      <c r="A13" s="113" t="s">
        <v>223</v>
      </c>
      <c r="B13" s="108"/>
      <c r="C13" s="111">
        <f t="shared" ref="C13:I13" si="3">SUBTOTAL(9,C3:C12)</f>
        <v>280987</v>
      </c>
      <c r="D13" s="111">
        <f t="shared" si="3"/>
        <v>459805.17</v>
      </c>
      <c r="E13" s="111">
        <f t="shared" si="3"/>
        <v>740792.17</v>
      </c>
      <c r="F13" s="111">
        <f t="shared" si="3"/>
        <v>1114677.25</v>
      </c>
      <c r="G13" s="111">
        <f t="shared" si="3"/>
        <v>-373885.08</v>
      </c>
      <c r="H13" s="107">
        <f t="shared" si="3"/>
        <v>0</v>
      </c>
      <c r="I13" s="103">
        <f t="shared" si="3"/>
        <v>-373885.08</v>
      </c>
    </row>
  </sheetData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topLeftCell="B1" workbookViewId="0">
      <selection activeCell="O58" sqref="O58"/>
    </sheetView>
  </sheetViews>
  <sheetFormatPr defaultColWidth="9" defaultRowHeight="13.5"/>
  <cols>
    <col min="1" max="1" width="5.25" style="53" hidden="1" customWidth="1"/>
    <col min="2" max="2" width="10.875" style="53" customWidth="1"/>
    <col min="3" max="3" width="15.625" style="53" customWidth="1"/>
    <col min="4" max="4" width="26.875" style="53" customWidth="1"/>
    <col min="5" max="5" width="8.375" style="53" customWidth="1"/>
    <col min="6" max="6" width="8.625" style="53" customWidth="1"/>
    <col min="7" max="7" width="16.375" style="53" customWidth="1"/>
    <col min="8" max="8" width="17.5" style="53" customWidth="1"/>
    <col min="9" max="9" width="11.375" style="53" customWidth="1"/>
    <col min="10" max="10" width="15.375" style="53" bestFit="1" customWidth="1"/>
    <col min="11" max="16384" width="9" style="53"/>
  </cols>
  <sheetData>
    <row r="1" spans="1:9" ht="18.75">
      <c r="A1" s="208" t="s">
        <v>284</v>
      </c>
      <c r="B1" s="208"/>
      <c r="C1" s="208"/>
      <c r="D1" s="208"/>
      <c r="E1" s="208"/>
      <c r="F1" s="208"/>
      <c r="G1" s="208"/>
      <c r="H1" s="208"/>
      <c r="I1" s="208"/>
    </row>
    <row r="2" spans="1:9" ht="24">
      <c r="A2" s="54" t="s">
        <v>196</v>
      </c>
      <c r="B2" s="55" t="s">
        <v>245</v>
      </c>
      <c r="C2" s="55" t="s">
        <v>285</v>
      </c>
      <c r="D2" s="55" t="s">
        <v>286</v>
      </c>
      <c r="E2" s="55" t="s">
        <v>199</v>
      </c>
      <c r="F2" s="55" t="s">
        <v>197</v>
      </c>
      <c r="G2" s="56" t="s">
        <v>287</v>
      </c>
      <c r="H2" s="56" t="s">
        <v>288</v>
      </c>
      <c r="I2" s="55" t="s">
        <v>7</v>
      </c>
    </row>
    <row r="3" spans="1:9">
      <c r="A3" s="57" t="s">
        <v>289</v>
      </c>
      <c r="B3" s="58" t="s">
        <v>2</v>
      </c>
      <c r="C3" s="58" t="s">
        <v>199</v>
      </c>
      <c r="D3" s="58" t="s">
        <v>290</v>
      </c>
      <c r="E3" s="58">
        <v>785</v>
      </c>
      <c r="F3" s="58"/>
      <c r="G3" s="58">
        <f t="shared" ref="G3:G12" si="0">E3*175*2</f>
        <v>274750</v>
      </c>
      <c r="H3" s="58">
        <f t="shared" ref="H3:H12" si="1">F3*215*2</f>
        <v>0</v>
      </c>
      <c r="I3" s="58">
        <f t="shared" ref="I3:I12" si="2">G3+H3</f>
        <v>274750</v>
      </c>
    </row>
    <row r="4" spans="1:9">
      <c r="A4" s="57" t="s">
        <v>289</v>
      </c>
      <c r="B4" s="58" t="s">
        <v>2</v>
      </c>
      <c r="C4" s="58" t="s">
        <v>199</v>
      </c>
      <c r="D4" s="58" t="s">
        <v>291</v>
      </c>
      <c r="E4" s="58">
        <v>5697</v>
      </c>
      <c r="F4" s="58"/>
      <c r="G4" s="58">
        <f t="shared" si="0"/>
        <v>1993950</v>
      </c>
      <c r="H4" s="58">
        <f t="shared" si="1"/>
        <v>0</v>
      </c>
      <c r="I4" s="58">
        <f t="shared" si="2"/>
        <v>1993950</v>
      </c>
    </row>
    <row r="5" spans="1:9">
      <c r="A5" s="57" t="s">
        <v>289</v>
      </c>
      <c r="B5" s="58" t="s">
        <v>2</v>
      </c>
      <c r="C5" s="58" t="s">
        <v>199</v>
      </c>
      <c r="D5" s="58" t="s">
        <v>292</v>
      </c>
      <c r="E5" s="58">
        <v>2410</v>
      </c>
      <c r="F5" s="58"/>
      <c r="G5" s="58">
        <f t="shared" si="0"/>
        <v>843500</v>
      </c>
      <c r="H5" s="58">
        <f t="shared" si="1"/>
        <v>0</v>
      </c>
      <c r="I5" s="58">
        <f t="shared" si="2"/>
        <v>843500</v>
      </c>
    </row>
    <row r="6" spans="1:9">
      <c r="A6" s="57" t="s">
        <v>289</v>
      </c>
      <c r="B6" s="58" t="s">
        <v>2</v>
      </c>
      <c r="C6" s="58" t="s">
        <v>199</v>
      </c>
      <c r="D6" s="58" t="s">
        <v>293</v>
      </c>
      <c r="E6" s="58">
        <v>788</v>
      </c>
      <c r="F6" s="58"/>
      <c r="G6" s="58">
        <f t="shared" si="0"/>
        <v>275800</v>
      </c>
      <c r="H6" s="58">
        <f t="shared" si="1"/>
        <v>0</v>
      </c>
      <c r="I6" s="58">
        <f t="shared" si="2"/>
        <v>275800</v>
      </c>
    </row>
    <row r="7" spans="1:9">
      <c r="A7" s="57" t="s">
        <v>289</v>
      </c>
      <c r="B7" s="58" t="s">
        <v>2</v>
      </c>
      <c r="C7" s="58" t="s">
        <v>199</v>
      </c>
      <c r="D7" s="58" t="s">
        <v>294</v>
      </c>
      <c r="E7" s="58">
        <v>2110</v>
      </c>
      <c r="F7" s="58"/>
      <c r="G7" s="58">
        <f t="shared" si="0"/>
        <v>738500</v>
      </c>
      <c r="H7" s="58">
        <f t="shared" si="1"/>
        <v>0</v>
      </c>
      <c r="I7" s="58">
        <f t="shared" si="2"/>
        <v>738500</v>
      </c>
    </row>
    <row r="8" spans="1:9">
      <c r="A8" s="57" t="s">
        <v>289</v>
      </c>
      <c r="B8" s="58" t="s">
        <v>2</v>
      </c>
      <c r="C8" s="58" t="s">
        <v>197</v>
      </c>
      <c r="D8" s="58" t="s">
        <v>295</v>
      </c>
      <c r="E8" s="58"/>
      <c r="F8" s="58">
        <v>1053</v>
      </c>
      <c r="G8" s="58">
        <f t="shared" si="0"/>
        <v>0</v>
      </c>
      <c r="H8" s="58">
        <f t="shared" si="1"/>
        <v>452790</v>
      </c>
      <c r="I8" s="58">
        <f t="shared" si="2"/>
        <v>452790</v>
      </c>
    </row>
    <row r="9" spans="1:9">
      <c r="A9" s="57" t="s">
        <v>289</v>
      </c>
      <c r="B9" s="58" t="s">
        <v>2</v>
      </c>
      <c r="C9" s="58" t="s">
        <v>197</v>
      </c>
      <c r="D9" s="58" t="s">
        <v>296</v>
      </c>
      <c r="E9" s="58"/>
      <c r="F9" s="58">
        <v>3448</v>
      </c>
      <c r="G9" s="58">
        <f t="shared" si="0"/>
        <v>0</v>
      </c>
      <c r="H9" s="58">
        <f t="shared" si="1"/>
        <v>1482640</v>
      </c>
      <c r="I9" s="58">
        <f t="shared" si="2"/>
        <v>1482640</v>
      </c>
    </row>
    <row r="10" spans="1:9">
      <c r="A10" s="57" t="s">
        <v>289</v>
      </c>
      <c r="B10" s="58" t="s">
        <v>2</v>
      </c>
      <c r="C10" s="58" t="s">
        <v>197</v>
      </c>
      <c r="D10" s="58" t="s">
        <v>297</v>
      </c>
      <c r="E10" s="58"/>
      <c r="F10" s="58">
        <v>1280</v>
      </c>
      <c r="G10" s="58">
        <f t="shared" si="0"/>
        <v>0</v>
      </c>
      <c r="H10" s="58">
        <f t="shared" si="1"/>
        <v>550400</v>
      </c>
      <c r="I10" s="58">
        <f t="shared" si="2"/>
        <v>550400</v>
      </c>
    </row>
    <row r="11" spans="1:9">
      <c r="A11" s="57"/>
      <c r="B11" s="58" t="s">
        <v>2</v>
      </c>
      <c r="C11" s="58" t="s">
        <v>298</v>
      </c>
      <c r="D11" s="58" t="s">
        <v>299</v>
      </c>
      <c r="E11" s="58">
        <v>528</v>
      </c>
      <c r="F11" s="58">
        <v>875</v>
      </c>
      <c r="G11" s="58">
        <f t="shared" si="0"/>
        <v>184800</v>
      </c>
      <c r="H11" s="58">
        <f t="shared" si="1"/>
        <v>376250</v>
      </c>
      <c r="I11" s="58">
        <f t="shared" si="2"/>
        <v>561050</v>
      </c>
    </row>
    <row r="12" spans="1:9">
      <c r="A12" s="57" t="s">
        <v>289</v>
      </c>
      <c r="B12" s="58" t="s">
        <v>2</v>
      </c>
      <c r="C12" s="58" t="s">
        <v>197</v>
      </c>
      <c r="D12" s="58" t="s">
        <v>300</v>
      </c>
      <c r="E12" s="58"/>
      <c r="F12" s="58">
        <v>1580</v>
      </c>
      <c r="G12" s="58">
        <f t="shared" si="0"/>
        <v>0</v>
      </c>
      <c r="H12" s="58">
        <f t="shared" si="1"/>
        <v>679400</v>
      </c>
      <c r="I12" s="58">
        <f t="shared" si="2"/>
        <v>679400</v>
      </c>
    </row>
    <row r="13" spans="1:9">
      <c r="A13" s="57"/>
      <c r="B13" s="59" t="s">
        <v>223</v>
      </c>
      <c r="C13" s="59"/>
      <c r="D13" s="59"/>
      <c r="E13" s="59">
        <f>SUBTOTAL(9,E3:E12)</f>
        <v>12318</v>
      </c>
      <c r="F13" s="59">
        <f>SUBTOTAL(9,F3:F12)</f>
        <v>8236</v>
      </c>
      <c r="G13" s="59">
        <f>SUBTOTAL(9,G3:G12)</f>
        <v>4311300</v>
      </c>
      <c r="H13" s="59">
        <f>SUBTOTAL(9,H3:H12)</f>
        <v>3541480</v>
      </c>
      <c r="I13" s="59">
        <f>SUBTOTAL(9,I3:I12)</f>
        <v>7852780</v>
      </c>
    </row>
  </sheetData>
  <mergeCells count="1">
    <mergeCell ref="A1:I1"/>
  </mergeCells>
  <phoneticPr fontId="1" type="noConversion"/>
  <hyperlinks>
    <hyperlink ref="D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2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23</vt:i4>
      </vt:variant>
    </vt:vector>
  </HeadingPairs>
  <TitlesOfParts>
    <vt:vector size="37" baseType="lpstr">
      <vt:lpstr>七宝镇</vt:lpstr>
      <vt:lpstr>七宝基本支出</vt:lpstr>
      <vt:lpstr>2023年绩效清算</vt:lpstr>
      <vt:lpstr>残疾就业保障</vt:lpstr>
      <vt:lpstr>抚恤金</vt:lpstr>
      <vt:lpstr>社区教育</vt:lpstr>
      <vt:lpstr>补充公用经费</vt:lpstr>
      <vt:lpstr>清算补充公用经费</vt:lpstr>
      <vt:lpstr>公办义务教育减免书薄费</vt:lpstr>
      <vt:lpstr>公办义务教育资助</vt:lpstr>
      <vt:lpstr>公办义务教育营养午餐</vt:lpstr>
      <vt:lpstr>公办学前资助</vt:lpstr>
      <vt:lpstr>七宝维修</vt:lpstr>
      <vt:lpstr>尾款清算</vt:lpstr>
      <vt:lpstr>'2023年绩效清算'!Print_Area</vt:lpstr>
      <vt:lpstr>补充公用经费!Print_Area</vt:lpstr>
      <vt:lpstr>残疾就业保障!Print_Area</vt:lpstr>
      <vt:lpstr>公办学前资助!Print_Area</vt:lpstr>
      <vt:lpstr>公办义务教育减免书薄费!Print_Area</vt:lpstr>
      <vt:lpstr>公办义务教育营养午餐!Print_Area</vt:lpstr>
      <vt:lpstr>公办义务教育资助!Print_Area</vt:lpstr>
      <vt:lpstr>七宝基本支出!Print_Area</vt:lpstr>
      <vt:lpstr>七宝维修!Print_Area</vt:lpstr>
      <vt:lpstr>清算补充公用经费!Print_Area</vt:lpstr>
      <vt:lpstr>社区教育!Print_Area</vt:lpstr>
      <vt:lpstr>尾款清算!Print_Area</vt:lpstr>
      <vt:lpstr>'2023年绩效清算'!Print_Titles</vt:lpstr>
      <vt:lpstr>补充公用经费!Print_Titles</vt:lpstr>
      <vt:lpstr>残疾就业保障!Print_Titles</vt:lpstr>
      <vt:lpstr>公办学前资助!Print_Titles</vt:lpstr>
      <vt:lpstr>公办义务教育减免书薄费!Print_Titles</vt:lpstr>
      <vt:lpstr>公办义务教育营养午餐!Print_Titles</vt:lpstr>
      <vt:lpstr>公办义务教育资助!Print_Titles</vt:lpstr>
      <vt:lpstr>七宝基本支出!Print_Titles</vt:lpstr>
      <vt:lpstr>七宝维修!Print_Titles</vt:lpstr>
      <vt:lpstr>清算补充公用经费!Print_Titles</vt:lpstr>
      <vt:lpstr>尾款清算!Print_Titles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2024-03-25T07:23:33Z</cp:lastPrinted>
  <dcterms:created xsi:type="dcterms:W3CDTF">2022-11-10T02:18:00Z</dcterms:created>
  <dcterms:modified xsi:type="dcterms:W3CDTF">2024-03-27T01:20:31Z</dcterms:modified>
</cp:coreProperties>
</file>